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195" yWindow="65446" windowWidth="12930" windowHeight="12555" tabRatio="800" activeTab="0"/>
  </bookViews>
  <sheets>
    <sheet name="аналіз фінансування 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 '!$3:$5</definedName>
  </definedNames>
  <calcPr fullCalcOnLoad="1"/>
</workbook>
</file>

<file path=xl/sharedStrings.xml><?xml version="1.0" encoding="utf-8"?>
<sst xmlns="http://schemas.openxmlformats.org/spreadsheetml/2006/main" count="168" uniqueCount="113">
  <si>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</si>
  <si>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</si>
  <si>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</si>
  <si>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</si>
  <si>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</si>
  <si>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</si>
  <si>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</si>
  <si>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</si>
  <si>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</si>
  <si>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</si>
  <si>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</si>
  <si>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</si>
  <si>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</si>
  <si>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</si>
  <si>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</si>
  <si>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</si>
  <si>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</si>
  <si>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</si>
  <si>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</si>
  <si>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</si>
  <si>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</si>
  <si>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</si>
  <si>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</si>
  <si>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</si>
  <si>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</si>
  <si>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</si>
  <si>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</si>
  <si>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</si>
  <si>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</si>
  <si>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</si>
  <si>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</si>
  <si>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</si>
  <si>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</si>
  <si>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</si>
  <si>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</si>
  <si>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</si>
  <si>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</si>
  <si>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</si>
  <si>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</si>
  <si>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</si>
  <si>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</si>
  <si>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</si>
  <si>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</si>
  <si>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</si>
  <si>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</si>
  <si>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</si>
  <si>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</si>
  <si>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</si>
  <si>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</si>
  <si>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</si>
  <si>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</si>
  <si>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</si>
  <si>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</si>
  <si>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</si>
  <si>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</si>
  <si>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</si>
  <si>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</si>
  <si>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</si>
  <si>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</si>
  <si>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</si>
  <si>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</si>
  <si>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</si>
  <si>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</si>
  <si>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</si>
  <si>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</si>
  <si>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</si>
  <si>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</si>
  <si>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</si>
  <si>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</si>
  <si>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</si>
  <si>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</si>
  <si>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</si>
  <si>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</si>
  <si>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</si>
  <si>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</si>
  <si>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</si>
  <si>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</si>
  <si>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</si>
  <si>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</si>
  <si>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</si>
  <si>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</si>
  <si>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</si>
  <si>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</si>
  <si>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</si>
  <si>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</si>
  <si>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</si>
  <si>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</si>
  <si>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</si>
  <si>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</si>
  <si>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</si>
  <si>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</si>
  <si>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</si>
  <si>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</si>
  <si>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</si>
  <si>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</si>
  <si>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</si>
  <si>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</si>
  <si>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</si>
  <si>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</si>
  <si>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</si>
  <si>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</si>
  <si>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</si>
  <si>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Програма сприяння залученню інвестицій</t>
  </si>
  <si>
    <t>План на рік, тис.грн.</t>
  </si>
  <si>
    <t>Відхилення від плану на рік, тис.грн.</t>
  </si>
  <si>
    <t>Відсоток виконання плану на рік</t>
  </si>
  <si>
    <t>Членські внески до асоціацій ОМС</t>
  </si>
  <si>
    <t>Програма здійсн.зах., що не передб.в бюджеті</t>
  </si>
  <si>
    <t>Обслуговування цінних паперів</t>
  </si>
  <si>
    <t>План на 7 місяців тис.грн.</t>
  </si>
  <si>
    <t>Відсоток виконання  плану 7 місяців</t>
  </si>
  <si>
    <t>Відхилення від  плану 7 місяців, тис.грн.</t>
  </si>
  <si>
    <t>Аналіз використання коштів загального фонду міського бюджету станом на 05.07.2019 року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</si>
</sst>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\ ##0.0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58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5" fillId="33" borderId="16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4" applyFont="1" applyBorder="1" applyAlignment="1" applyProtection="1">
      <alignment vertical="center" wrapText="1"/>
      <protection/>
    </xf>
    <xf numFmtId="190" fontId="0" fillId="0" borderId="0" xfId="54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190" fontId="4" fillId="33" borderId="12" xfId="0" applyNumberFormat="1" applyFont="1" applyFill="1" applyBorder="1" applyAlignment="1">
      <alignment/>
    </xf>
    <xf numFmtId="190" fontId="4" fillId="33" borderId="13" xfId="0" applyNumberFormat="1" applyFont="1" applyFill="1" applyBorder="1" applyAlignment="1">
      <alignment vertical="center" wrapText="1"/>
    </xf>
    <xf numFmtId="190" fontId="4" fillId="33" borderId="13" xfId="0" applyNumberFormat="1" applyFont="1" applyFill="1" applyBorder="1" applyAlignment="1">
      <alignment/>
    </xf>
    <xf numFmtId="190" fontId="4" fillId="33" borderId="11" xfId="0" applyNumberFormat="1" applyFont="1" applyFill="1" applyBorder="1" applyAlignment="1">
      <alignment/>
    </xf>
    <xf numFmtId="189" fontId="4" fillId="33" borderId="11" xfId="0" applyNumberFormat="1" applyFont="1" applyFill="1" applyBorder="1" applyAlignment="1">
      <alignment/>
    </xf>
    <xf numFmtId="0" fontId="3" fillId="33" borderId="13" xfId="0" applyFont="1" applyFill="1" applyBorder="1" applyAlignment="1">
      <alignment wrapText="1"/>
    </xf>
    <xf numFmtId="0" fontId="5" fillId="34" borderId="12" xfId="0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0" fontId="5" fillId="33" borderId="14" xfId="0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189" fontId="4" fillId="34" borderId="11" xfId="0" applyNumberFormat="1" applyFont="1" applyFill="1" applyBorder="1" applyAlignment="1">
      <alignment/>
    </xf>
    <xf numFmtId="190" fontId="4" fillId="34" borderId="11" xfId="0" applyNumberFormat="1" applyFont="1" applyFill="1" applyBorder="1" applyAlignment="1">
      <alignment/>
    </xf>
    <xf numFmtId="190" fontId="5" fillId="35" borderId="10" xfId="0" applyNumberFormat="1" applyFont="1" applyFill="1" applyBorder="1" applyAlignment="1">
      <alignment wrapText="1"/>
    </xf>
    <xf numFmtId="190" fontId="3" fillId="35" borderId="10" xfId="0" applyNumberFormat="1" applyFont="1" applyFill="1" applyBorder="1" applyAlignment="1">
      <alignment wrapText="1"/>
    </xf>
    <xf numFmtId="190" fontId="0" fillId="33" borderId="0" xfId="0" applyNumberFormat="1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025"/>
          <c:w val="0.853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'!$C$92</c:f>
              <c:numCache>
                <c:ptCount val="1"/>
                <c:pt idx="0">
                  <c:v>217222.3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'!$D$92</c:f>
              <c:numCache>
                <c:ptCount val="1"/>
                <c:pt idx="0">
                  <c:v>107580.79999999999</c:v>
                </c:pt>
              </c:numCache>
            </c:numRef>
          </c:val>
          <c:shape val="box"/>
        </c:ser>
        <c:shape val="box"/>
        <c:axId val="52500877"/>
        <c:axId val="2745846"/>
      </c:bar3DChart>
      <c:catAx>
        <c:axId val="52500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45846"/>
        <c:crosses val="autoZero"/>
        <c:auto val="1"/>
        <c:lblOffset val="100"/>
        <c:tickLblSkip val="1"/>
        <c:noMultiLvlLbl val="0"/>
      </c:catAx>
      <c:valAx>
        <c:axId val="27458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008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3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87"/>
          <c:w val="0.8435"/>
          <c:h val="0.718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</c:f>
              <c:numCache>
                <c:ptCount val="1"/>
                <c:pt idx="0">
                  <c:v>921938.2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</c:f>
              <c:numCache>
                <c:ptCount val="1"/>
                <c:pt idx="0">
                  <c:v>515370.69999999984</c:v>
                </c:pt>
              </c:numCache>
            </c:numRef>
          </c:val>
          <c:shape val="box"/>
        </c:ser>
        <c:shape val="box"/>
        <c:axId val="24712615"/>
        <c:axId val="21086944"/>
      </c:bar3DChart>
      <c:catAx>
        <c:axId val="24712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086944"/>
        <c:crosses val="autoZero"/>
        <c:auto val="1"/>
        <c:lblOffset val="100"/>
        <c:tickLblSkip val="1"/>
        <c:noMultiLvlLbl val="0"/>
      </c:catAx>
      <c:valAx>
        <c:axId val="210869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7126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2075"/>
          <c:w val="0.9295"/>
          <c:h val="0.6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'!$C$18</c:f>
              <c:numCache>
                <c:ptCount val="1"/>
                <c:pt idx="0">
                  <c:v>418456.4000000001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'!$D$18</c:f>
              <c:numCache>
                <c:ptCount val="1"/>
                <c:pt idx="0">
                  <c:v>204118.33699999988</c:v>
                </c:pt>
              </c:numCache>
            </c:numRef>
          </c:val>
          <c:shape val="box"/>
        </c:ser>
        <c:shape val="box"/>
        <c:axId val="55564769"/>
        <c:axId val="30320874"/>
      </c:bar3DChart>
      <c:catAx>
        <c:axId val="55564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320874"/>
        <c:crosses val="autoZero"/>
        <c:auto val="1"/>
        <c:lblOffset val="100"/>
        <c:tickLblSkip val="1"/>
        <c:noMultiLvlLbl val="0"/>
      </c:catAx>
      <c:valAx>
        <c:axId val="303208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5647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91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'!$C$33</c:f>
              <c:numCache>
                <c:ptCount val="1"/>
                <c:pt idx="0">
                  <c:v>27234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'!$D$33</c:f>
              <c:numCache>
                <c:ptCount val="1"/>
                <c:pt idx="0">
                  <c:v>12631.199999999997</c:v>
                </c:pt>
              </c:numCache>
            </c:numRef>
          </c:val>
          <c:shape val="box"/>
        </c:ser>
        <c:shape val="box"/>
        <c:axId val="4452411"/>
        <c:axId val="40071700"/>
      </c:bar3DChart>
      <c:catAx>
        <c:axId val="4452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071700"/>
        <c:crosses val="autoZero"/>
        <c:auto val="1"/>
        <c:lblOffset val="100"/>
        <c:tickLblSkip val="1"/>
        <c:noMultiLvlLbl val="0"/>
      </c:catAx>
      <c:valAx>
        <c:axId val="400717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524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35"/>
          <c:w val="0.863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'!$C$52</c:f>
              <c:numCache>
                <c:ptCount val="1"/>
                <c:pt idx="0">
                  <c:v>51453.8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'!$D$52</c:f>
              <c:numCache>
                <c:ptCount val="1"/>
                <c:pt idx="0">
                  <c:v>23101.9</c:v>
                </c:pt>
              </c:numCache>
            </c:numRef>
          </c:val>
          <c:shape val="box"/>
        </c:ser>
        <c:shape val="box"/>
        <c:axId val="25100981"/>
        <c:axId val="24582238"/>
      </c:bar3DChart>
      <c:catAx>
        <c:axId val="25100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582238"/>
        <c:crosses val="autoZero"/>
        <c:auto val="1"/>
        <c:lblOffset val="100"/>
        <c:tickLblSkip val="2"/>
        <c:noMultiLvlLbl val="0"/>
      </c:catAx>
      <c:valAx>
        <c:axId val="245822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009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197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093"/>
          <c:w val="0.8775"/>
          <c:h val="0.688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'!$C$60</c:f>
              <c:numCache>
                <c:ptCount val="1"/>
                <c:pt idx="0">
                  <c:v>8853.9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'!$D$60</c:f>
              <c:numCache>
                <c:ptCount val="1"/>
                <c:pt idx="0">
                  <c:v>4247.4</c:v>
                </c:pt>
              </c:numCache>
            </c:numRef>
          </c:val>
          <c:shape val="box"/>
        </c:ser>
        <c:shape val="box"/>
        <c:axId val="19913551"/>
        <c:axId val="45004232"/>
      </c:bar3DChart>
      <c:catAx>
        <c:axId val="19913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004232"/>
        <c:crosses val="autoZero"/>
        <c:auto val="1"/>
        <c:lblOffset val="100"/>
        <c:tickLblSkip val="1"/>
        <c:noMultiLvlLbl val="0"/>
      </c:catAx>
      <c:valAx>
        <c:axId val="450042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135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8975"/>
          <c:w val="0.85275"/>
          <c:h val="0.727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'!$C$97</c:f>
              <c:numCache>
                <c:ptCount val="1"/>
                <c:pt idx="0">
                  <c:v>133579.1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'!$D$97</c:f>
              <c:numCache>
                <c:ptCount val="1"/>
                <c:pt idx="0">
                  <c:v>49308.6</c:v>
                </c:pt>
              </c:numCache>
            </c:numRef>
          </c:val>
          <c:shape val="box"/>
        </c:ser>
        <c:shape val="box"/>
        <c:axId val="2384905"/>
        <c:axId val="21464146"/>
      </c:bar3DChart>
      <c:catAx>
        <c:axId val="2384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1464146"/>
        <c:crosses val="autoZero"/>
        <c:auto val="1"/>
        <c:lblOffset val="100"/>
        <c:tickLblSkip val="1"/>
        <c:noMultiLvlLbl val="0"/>
      </c:catAx>
      <c:valAx>
        <c:axId val="214641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49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7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5"/>
          <c:y val="0.13725"/>
          <c:w val="0.85125"/>
          <c:h val="0.58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'!$C$6,'аналіз фінансування '!$C$18,'аналіз фінансування '!$C$33,'аналіз фінансування '!$C$52,'аналіз фінансування '!$C$60,'аналіз фінансування '!$C$92,'аналіз фінансування '!$C$97)</c:f>
              <c:numCache>
                <c:ptCount val="7"/>
                <c:pt idx="0">
                  <c:v>921938.2</c:v>
                </c:pt>
                <c:pt idx="1">
                  <c:v>418456.4000000001</c:v>
                </c:pt>
                <c:pt idx="2">
                  <c:v>27234</c:v>
                </c:pt>
                <c:pt idx="3">
                  <c:v>51453.8</c:v>
                </c:pt>
                <c:pt idx="4">
                  <c:v>8853.9</c:v>
                </c:pt>
                <c:pt idx="5">
                  <c:v>217222.3</c:v>
                </c:pt>
                <c:pt idx="6">
                  <c:v>133579.1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'!$D$6,'аналіз фінансування '!$D$18,'аналіз фінансування '!$D$33,'аналіз фінансування '!$D$52,'аналіз фінансування '!$D$60,'аналіз фінансування '!$D$92,'аналіз фінансування '!$D$97)</c:f>
              <c:numCache>
                <c:ptCount val="7"/>
                <c:pt idx="0">
                  <c:v>515370.69999999984</c:v>
                </c:pt>
                <c:pt idx="1">
                  <c:v>204118.33699999988</c:v>
                </c:pt>
                <c:pt idx="2">
                  <c:v>12631.199999999997</c:v>
                </c:pt>
                <c:pt idx="3">
                  <c:v>23101.9</c:v>
                </c:pt>
                <c:pt idx="4">
                  <c:v>4247.4</c:v>
                </c:pt>
                <c:pt idx="5">
                  <c:v>107580.79999999999</c:v>
                </c:pt>
                <c:pt idx="6">
                  <c:v>49308.6</c:v>
                </c:pt>
              </c:numCache>
            </c:numRef>
          </c:val>
          <c:shape val="box"/>
        </c:ser>
        <c:shape val="box"/>
        <c:axId val="58959587"/>
        <c:axId val="60874236"/>
      </c:bar3DChart>
      <c:catAx>
        <c:axId val="58959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874236"/>
        <c:crosses val="autoZero"/>
        <c:auto val="1"/>
        <c:lblOffset val="100"/>
        <c:tickLblSkip val="1"/>
        <c:noMultiLvlLbl val="0"/>
      </c:catAx>
      <c:valAx>
        <c:axId val="608742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9595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5"/>
          <c:y val="0.8725"/>
          <c:w val="0.23075"/>
          <c:h val="0.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1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"/>
          <c:y val="0.284"/>
          <c:w val="0.84125"/>
          <c:h val="0.49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'!$C$157:$C$162</c:f>
              <c:numCache>
                <c:ptCount val="6"/>
                <c:pt idx="0">
                  <c:v>988150.6</c:v>
                </c:pt>
                <c:pt idx="1">
                  <c:v>125217.3</c:v>
                </c:pt>
                <c:pt idx="2">
                  <c:v>48102.700000000004</c:v>
                </c:pt>
                <c:pt idx="3">
                  <c:v>87440.30000000002</c:v>
                </c:pt>
                <c:pt idx="4">
                  <c:v>122.9</c:v>
                </c:pt>
                <c:pt idx="5">
                  <c:v>1258948.8000000005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'!$D$157:$D$162</c:f>
              <c:numCache>
                <c:ptCount val="6"/>
                <c:pt idx="0">
                  <c:v>557108.8999999999</c:v>
                </c:pt>
                <c:pt idx="1">
                  <c:v>61438.89999999997</c:v>
                </c:pt>
                <c:pt idx="2">
                  <c:v>26485</c:v>
                </c:pt>
                <c:pt idx="3">
                  <c:v>38854.8</c:v>
                </c:pt>
                <c:pt idx="4">
                  <c:v>37.99999999999999</c:v>
                </c:pt>
                <c:pt idx="5">
                  <c:v>549006.4567899996</c:v>
                </c:pt>
              </c:numCache>
            </c:numRef>
          </c:val>
          <c:shape val="box"/>
        </c:ser>
        <c:shape val="box"/>
        <c:axId val="10997213"/>
        <c:axId val="31866054"/>
      </c:bar3DChart>
      <c:catAx>
        <c:axId val="10997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866054"/>
        <c:crosses val="autoZero"/>
        <c:auto val="1"/>
        <c:lblOffset val="100"/>
        <c:tickLblSkip val="1"/>
        <c:noMultiLvlLbl val="0"/>
      </c:catAx>
      <c:valAx>
        <c:axId val="318660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972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6"/>
          <c:y val="0.91075"/>
          <c:w val="0.504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16</xdr:col>
      <xdr:colOff>619125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18586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109662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1"/>
  <sheetViews>
    <sheetView tabSelected="1" view="pageBreakPreview" zoomScale="70" zoomScaleNormal="80" zoomScaleSheetLayoutView="70" workbookViewId="0" topLeftCell="A1">
      <pane xSplit="1" ySplit="5" topLeftCell="D1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143" sqref="D143"/>
    </sheetView>
  </sheetViews>
  <sheetFormatPr defaultColWidth="9.00390625" defaultRowHeight="12.75"/>
  <cols>
    <col min="1" max="1" width="66.875" style="129" customWidth="1"/>
    <col min="2" max="2" width="19.00390625" style="129" customWidth="1"/>
    <col min="3" max="3" width="18.75390625" style="130" customWidth="1"/>
    <col min="4" max="4" width="19.00390625" style="130" customWidth="1"/>
    <col min="5" max="5" width="17.25390625" style="130" customWidth="1"/>
    <col min="6" max="7" width="19.375" style="130" customWidth="1"/>
    <col min="8" max="8" width="19.75390625" style="130" customWidth="1"/>
    <col min="9" max="9" width="21.00390625" style="130" customWidth="1"/>
    <col min="10" max="10" width="9.125" style="130" customWidth="1"/>
    <col min="11" max="11" width="15.375" style="130" customWidth="1"/>
    <col min="12" max="12" width="13.625" style="130" customWidth="1"/>
    <col min="13" max="13" width="11.375" style="130" bestFit="1" customWidth="1"/>
    <col min="14" max="16384" width="9.125" style="130" customWidth="1"/>
  </cols>
  <sheetData>
    <row r="1" spans="1:9" ht="30">
      <c r="A1" s="160" t="s">
        <v>112</v>
      </c>
      <c r="B1" s="160"/>
      <c r="C1" s="160"/>
      <c r="D1" s="160"/>
      <c r="E1" s="160"/>
      <c r="F1" s="160"/>
      <c r="G1" s="160"/>
      <c r="H1" s="160"/>
      <c r="I1" s="160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61" t="s">
        <v>38</v>
      </c>
      <c r="B3" s="164" t="s">
        <v>109</v>
      </c>
      <c r="C3" s="167" t="s">
        <v>103</v>
      </c>
      <c r="D3" s="167" t="s">
        <v>20</v>
      </c>
      <c r="E3" s="167" t="s">
        <v>19</v>
      </c>
      <c r="F3" s="167" t="s">
        <v>110</v>
      </c>
      <c r="G3" s="167" t="s">
        <v>105</v>
      </c>
      <c r="H3" s="167" t="s">
        <v>111</v>
      </c>
      <c r="I3" s="167" t="s">
        <v>104</v>
      </c>
    </row>
    <row r="4" spans="1:9" ht="24.75" customHeight="1">
      <c r="A4" s="162"/>
      <c r="B4" s="165"/>
      <c r="C4" s="168"/>
      <c r="D4" s="168"/>
      <c r="E4" s="168"/>
      <c r="F4" s="168"/>
      <c r="G4" s="168"/>
      <c r="H4" s="168"/>
      <c r="I4" s="168"/>
    </row>
    <row r="5" spans="1:10" ht="39" customHeight="1" thickBot="1">
      <c r="A5" s="163"/>
      <c r="B5" s="166"/>
      <c r="C5" s="169"/>
      <c r="D5" s="169"/>
      <c r="E5" s="169"/>
      <c r="F5" s="169"/>
      <c r="G5" s="169"/>
      <c r="H5" s="169"/>
      <c r="I5" s="169"/>
      <c r="J5" s="135"/>
    </row>
    <row r="6" spans="1:12" ht="18.75" thickBot="1">
      <c r="A6" s="18" t="s">
        <v>24</v>
      </c>
      <c r="B6" s="34">
        <f>579162.3-150.8</f>
        <v>579011.5</v>
      </c>
      <c r="C6" s="35">
        <f>913995.7+3.2+21.3+6054.6-0.1+7.6+51.9+2.3+1801.7</f>
        <v>921938.2</v>
      </c>
      <c r="D6" s="36">
        <f>11099.2+9623.1+1.9+134.7+531.1+44.4+1464.8+43.3+356.7+16648.5+1044.7+22.2+15069.2+2403.3+273.5+220.6+39.4+2669.9+423.4+804.7+85+14514.4+10510.2+446+2528.1+222.7+0.8+3854.8+741.1+3541.7+24275+12398.6+1128.8-92.4+0.2+60.7+1437.6+1886+1381.2+24452.9+2976.1+3278.2+2126+3292.8+2453.5+875.9+807.5+2786.6+647.3+12514+23039.2+298.2-6.2+629.5+733.5+255.6+2756.8+628.6+8.7+2675.8+1146.4+15913.4+10597.9+989.9+15.5+1558+1305.3+494.8+1064+1049.8+22080.9+12396.7+93+16.1+53.8+1260.1+406.8+252.6-0.7+2133.3+13730.5+10532.6+1117.8+436+409.4+572.5+924.7+143.2+762.1+701+75.3+1449.6+1.5+26550.1+25726.8+14.9+2302.2+188.2+499+1591.3+567.9+115.1+18723.3+4498.4+41728.4+849.5+425.1+621.1+23.4+130.9+1148.2+15957.3+10871.6+22012.8+800.8+1283.3+847.7+4031.4+64.1+956.3+88.2</f>
        <v>515370.69999999984</v>
      </c>
      <c r="E6" s="3">
        <f>D6/D156*100</f>
        <v>41.800413669330105</v>
      </c>
      <c r="F6" s="3">
        <f>D6/B6*100</f>
        <v>89.00871571635449</v>
      </c>
      <c r="G6" s="3">
        <f aca="true" t="shared" si="0" ref="G6:G43">D6/C6*100</f>
        <v>55.90078597459134</v>
      </c>
      <c r="H6" s="36">
        <f aca="true" t="shared" si="1" ref="H6:H12">B6-D6</f>
        <v>63640.80000000016</v>
      </c>
      <c r="I6" s="36">
        <f aca="true" t="shared" si="2" ref="I6:I43">C6-D6</f>
        <v>406567.5000000001</v>
      </c>
      <c r="J6" s="135"/>
      <c r="L6" s="136">
        <f>H6-H7</f>
        <v>55577.90000000017</v>
      </c>
    </row>
    <row r="7" spans="1:9" s="84" customFormat="1" ht="18.75">
      <c r="A7" s="121" t="s">
        <v>79</v>
      </c>
      <c r="B7" s="122">
        <v>196242.1</v>
      </c>
      <c r="C7" s="123">
        <f>298956.2+3.2</f>
        <v>298959.4</v>
      </c>
      <c r="D7" s="124">
        <f>12060.7+9623.1+1044.7+273.5+10510.2+12398.6+40.7+10550.7+12514+8.7+10597.9+12396.7+14.3-11.2+14.3+10532.6+25726.8+2302.2+41728.4+13.4+10871.6+847.7+4031.4+88.2</f>
        <v>188179.2</v>
      </c>
      <c r="E7" s="125">
        <f>D7/D6*100</f>
        <v>36.513367950486916</v>
      </c>
      <c r="F7" s="125">
        <f>D7/B7*100</f>
        <v>95.89135053079843</v>
      </c>
      <c r="G7" s="125">
        <f>D7/C7*100</f>
        <v>62.94473430171455</v>
      </c>
      <c r="H7" s="124">
        <f t="shared" si="1"/>
        <v>8062.899999999994</v>
      </c>
      <c r="I7" s="124">
        <f t="shared" si="2"/>
        <v>110780.20000000001</v>
      </c>
    </row>
    <row r="8" spans="1:9" s="135" customFormat="1" ht="18">
      <c r="A8" s="89" t="s">
        <v>3</v>
      </c>
      <c r="B8" s="108">
        <v>464376.6</v>
      </c>
      <c r="C8" s="109">
        <f>726684.4+3.2+2754.6</f>
        <v>729442.2</v>
      </c>
      <c r="D8" s="91">
        <f>20722.3+1.9+16592.9+1044.7+15069.2+2403.3+273.5+14243.2+10510.2+12398.6+19789.8+60.7+23573.1+21765.1+12514+5.3+4.8+8.7+13704.4+10597.9+33709.4+39.5+14.3+10532.6+12547.2+25798.9+25726.8+2302.2+162.1+18657.4+41728.4+3346.3+13.4+4.5+10871.6+15709.6+21507.2+1107.9+847.7+4031.4+88.2+42.4</f>
        <v>424072.6000000001</v>
      </c>
      <c r="E8" s="93">
        <f>D8/D6*100</f>
        <v>82.28496497763653</v>
      </c>
      <c r="F8" s="93">
        <f>D8/B8*100</f>
        <v>91.32083744099081</v>
      </c>
      <c r="G8" s="93">
        <f t="shared" si="0"/>
        <v>58.13655968903364</v>
      </c>
      <c r="H8" s="91">
        <f t="shared" si="1"/>
        <v>40303.99999999988</v>
      </c>
      <c r="I8" s="91">
        <f t="shared" si="2"/>
        <v>305369.59999999986</v>
      </c>
    </row>
    <row r="9" spans="1:9" s="135" customFormat="1" ht="18">
      <c r="A9" s="89" t="s">
        <v>2</v>
      </c>
      <c r="B9" s="108">
        <v>51.7</v>
      </c>
      <c r="C9" s="109">
        <v>104.9</v>
      </c>
      <c r="D9" s="91">
        <f>16.3+0.9+0.3+8.7+9.7+0.3+0.4+0.4+0.1</f>
        <v>37.099999999999994</v>
      </c>
      <c r="E9" s="110">
        <f>D9/D6*100</f>
        <v>0.007198701827635915</v>
      </c>
      <c r="F9" s="93">
        <f>D9/B9*100</f>
        <v>71.76015473887813</v>
      </c>
      <c r="G9" s="93">
        <f t="shared" si="0"/>
        <v>35.36701620591038</v>
      </c>
      <c r="H9" s="91">
        <f t="shared" si="1"/>
        <v>14.600000000000009</v>
      </c>
      <c r="I9" s="91">
        <f t="shared" si="2"/>
        <v>67.80000000000001</v>
      </c>
    </row>
    <row r="10" spans="1:9" s="135" customFormat="1" ht="18">
      <c r="A10" s="89" t="s">
        <v>1</v>
      </c>
      <c r="B10" s="108">
        <v>26997.6</v>
      </c>
      <c r="C10" s="109">
        <v>43439.8</v>
      </c>
      <c r="D10" s="126">
        <f>525.8+44.4+601.2+43.3+356.4+55.6+22.2+1183.8+262+357.1+64+47.5+133.7+449.5+46.4+224.9+741.1+480.4+382.5-93.5+0.2+240.3+427.1+446.9+102.1+46+154.6+766.9+945+400+1+1121.4+59+682.9+18.7+363.3+73.4+41.9+403.7+10.1+702.9+518+32.3+798.8+479.5+841.8+9.7+390.5+203.2+283.8+14.7+708.9+214.1+98-0.1+840.2+413+34.3+314.6+100.4+456.8+441.7+0.1+78.1+348.9+2.2+951.6+1.2+34.1-0.2+1.7+334.9+507.1+37.5+42.2+615.4+261.9+63.6+420+11.8+62.7+271.9+339.3+1.2+0.2+23.1</f>
        <v>24540.4</v>
      </c>
      <c r="E10" s="93">
        <f>D10/D6*100</f>
        <v>4.761698715119041</v>
      </c>
      <c r="F10" s="93">
        <f aca="true" t="shared" si="3" ref="F10:F41">D10/B10*100</f>
        <v>90.89845023261329</v>
      </c>
      <c r="G10" s="93">
        <f t="shared" si="0"/>
        <v>56.492893613690676</v>
      </c>
      <c r="H10" s="91">
        <f t="shared" si="1"/>
        <v>2457.199999999997</v>
      </c>
      <c r="I10" s="91">
        <f t="shared" si="2"/>
        <v>18899.4</v>
      </c>
    </row>
    <row r="11" spans="1:9" s="135" customFormat="1" ht="18">
      <c r="A11" s="89" t="s">
        <v>0</v>
      </c>
      <c r="B11" s="108">
        <f>57233.2-150.8</f>
        <v>57082.399999999994</v>
      </c>
      <c r="C11" s="109">
        <f>98224.3+33+0.3</f>
        <v>98257.6</v>
      </c>
      <c r="D11" s="127">
        <f>39.4+1482.5+161.1+446.7+223.7+143.2+2067.6+42+0.7+3077.2+2292.1+4098.5+884.8+1.1+688.8+1267.7+920.8+531.8+2870.4+2522+1076.6+267.2+3290.1+1467.5+255.7+697.1+813.5+565.4+107.9+63.1-5.9+65.1+547.6+206.2+1957.7+517+1972.2+544.3+1550.3+130.4+1057.3+163.5+114.1+1.2+287.7+262.4+79.6+2+0.6+499.3+189+105.9-1+924.1+743.1+713.2+2.5+274+68.8+344.9+81.5+43.7+7.6+232.5+455.8+0.7+0.6+26.1+153.5+791.4+33.6+60.7+1.7+401.1+68.1+24.8+4.6+1+8+29.5+15+11.6+51.3+0.3-0.1+114.6+64.1+132.3</f>
        <v>48498.89999999998</v>
      </c>
      <c r="E11" s="93">
        <f>D11/D6*100</f>
        <v>9.41048841154532</v>
      </c>
      <c r="F11" s="93">
        <f t="shared" si="3"/>
        <v>84.96296581783524</v>
      </c>
      <c r="G11" s="93">
        <f t="shared" si="0"/>
        <v>49.358929996254716</v>
      </c>
      <c r="H11" s="91">
        <f t="shared" si="1"/>
        <v>8583.500000000015</v>
      </c>
      <c r="I11" s="91">
        <f t="shared" si="2"/>
        <v>49758.700000000026</v>
      </c>
    </row>
    <row r="12" spans="1:9" s="135" customFormat="1" ht="18">
      <c r="A12" s="89" t="s">
        <v>12</v>
      </c>
      <c r="B12" s="108">
        <v>7771.4</v>
      </c>
      <c r="C12" s="109">
        <f>13016.5-27.3-2+2.3</f>
        <v>12989.5</v>
      </c>
      <c r="D12" s="91">
        <f>134.7+863.6+21+169+134.3+503.1+242.3+376.7+419.7+11.5+196.3+194.7+350.5+128.8+306+205.9+21+475.1+46.1+265+1+11.5+502+21+253.6+228.1+113.2+114.8+47.7</f>
        <v>6358.200000000001</v>
      </c>
      <c r="E12" s="93">
        <f>D12/D6*100</f>
        <v>1.2337139072904229</v>
      </c>
      <c r="F12" s="93">
        <f t="shared" si="3"/>
        <v>81.81537432122914</v>
      </c>
      <c r="G12" s="93">
        <f t="shared" si="0"/>
        <v>48.948766311251404</v>
      </c>
      <c r="H12" s="91">
        <f t="shared" si="1"/>
        <v>1413.199999999999</v>
      </c>
      <c r="I12" s="91">
        <f t="shared" si="2"/>
        <v>6631.299999999999</v>
      </c>
    </row>
    <row r="13" spans="1:9" s="135" customFormat="1" ht="18.75" thickBot="1">
      <c r="A13" s="89" t="s">
        <v>25</v>
      </c>
      <c r="B13" s="109">
        <f>B6-B8-B9-B10-B11-B12</f>
        <v>22731.80000000004</v>
      </c>
      <c r="C13" s="109">
        <f>C6-C8-C9-C10-C11-C12</f>
        <v>37704.19999999998</v>
      </c>
      <c r="D13" s="109">
        <f>D6-D8-D9-D10-D11-D12</f>
        <v>11863.499999999764</v>
      </c>
      <c r="E13" s="93">
        <f>D13/D6*100</f>
        <v>2.3019352865810507</v>
      </c>
      <c r="F13" s="93">
        <f t="shared" si="3"/>
        <v>52.18900395041195</v>
      </c>
      <c r="G13" s="93">
        <f t="shared" si="0"/>
        <v>31.464664414043447</v>
      </c>
      <c r="H13" s="91">
        <f aca="true" t="shared" si="4" ref="H13:H44">B13-D13</f>
        <v>10868.300000000276</v>
      </c>
      <c r="I13" s="91">
        <f t="shared" si="2"/>
        <v>25840.70000000022</v>
      </c>
    </row>
    <row r="14" spans="1:10" s="29" customFormat="1" ht="18.75" customHeight="1" hidden="1">
      <c r="A14" s="69" t="s">
        <v>59</v>
      </c>
      <c r="B14" s="67"/>
      <c r="C14" s="67"/>
      <c r="D14" s="67"/>
      <c r="E14" s="68"/>
      <c r="F14" s="68" t="e">
        <f>D14/B14*100</f>
        <v>#DIV/0!</v>
      </c>
      <c r="G14" s="68" t="e">
        <f>D14/C14*100</f>
        <v>#DIV/0!</v>
      </c>
      <c r="H14" s="91">
        <f t="shared" si="4"/>
        <v>0</v>
      </c>
      <c r="I14" s="72">
        <f>C14-D14</f>
        <v>0</v>
      </c>
      <c r="J14" s="84"/>
    </row>
    <row r="15" spans="1:10" s="29" customFormat="1" ht="18.75" customHeight="1" hidden="1">
      <c r="A15" s="69" t="s">
        <v>56</v>
      </c>
      <c r="B15" s="67"/>
      <c r="C15" s="67"/>
      <c r="D15" s="67"/>
      <c r="E15" s="68"/>
      <c r="F15" s="68" t="e">
        <f>D15/B15*100</f>
        <v>#DIV/0!</v>
      </c>
      <c r="G15" s="68" t="e">
        <f>D15/C15*100</f>
        <v>#DIV/0!</v>
      </c>
      <c r="H15" s="91">
        <f t="shared" si="4"/>
        <v>0</v>
      </c>
      <c r="I15" s="72">
        <f>C15-D15</f>
        <v>0</v>
      </c>
      <c r="J15" s="84"/>
    </row>
    <row r="16" spans="1:10" s="29" customFormat="1" ht="19.5" hidden="1" thickBot="1">
      <c r="A16" s="69" t="s">
        <v>57</v>
      </c>
      <c r="B16" s="67"/>
      <c r="C16" s="67"/>
      <c r="D16" s="67"/>
      <c r="E16" s="68"/>
      <c r="F16" s="68" t="e">
        <f>D16/B16*100</f>
        <v>#DIV/0!</v>
      </c>
      <c r="G16" s="68" t="e">
        <f>D16/C16*100</f>
        <v>#DIV/0!</v>
      </c>
      <c r="H16" s="91">
        <f t="shared" si="4"/>
        <v>0</v>
      </c>
      <c r="I16" s="72">
        <f>C16-D16</f>
        <v>0</v>
      </c>
      <c r="J16" s="84"/>
    </row>
    <row r="17" spans="1:10" s="29" customFormat="1" ht="19.5" hidden="1" thickBot="1">
      <c r="A17" s="69" t="s">
        <v>58</v>
      </c>
      <c r="B17" s="67"/>
      <c r="C17" s="67"/>
      <c r="D17" s="67"/>
      <c r="E17" s="68"/>
      <c r="F17" s="68" t="e">
        <f>D17/B17*100</f>
        <v>#DIV/0!</v>
      </c>
      <c r="G17" s="68" t="e">
        <f>D17/C17*100</f>
        <v>#DIV/0!</v>
      </c>
      <c r="H17" s="91">
        <f t="shared" si="4"/>
        <v>0</v>
      </c>
      <c r="I17" s="72">
        <f>C17-D17</f>
        <v>0</v>
      </c>
      <c r="J17" s="84"/>
    </row>
    <row r="18" spans="1:12" ht="18.75" thickBot="1">
      <c r="A18" s="18" t="s">
        <v>17</v>
      </c>
      <c r="B18" s="34">
        <f>254423.8-580</f>
        <v>253843.8</v>
      </c>
      <c r="C18" s="35">
        <f>417020.2+71.9+897.7-0.1-33.9+680.4+0.2-180</f>
        <v>418456.4000000001</v>
      </c>
      <c r="D18" s="36">
        <f>9880.4+236.6+6978.3+6921+371.7+499.9+9964.9+4030.7+430.2+29.9+505.9+258.6+9247.5+5793.8+177.6-0.3+50.4+1560.6+365+404.1+10080.2+6002.3+983.7+0.2+102.6+170.9+1929.3+5928.2+3314.6+5249.2+585.3+84+49.3-3.6-0.1+112+0.7+344.2+2929.9+1165.4+743.9+679.4+7774.7+2133.2+898.2+803.2+71.5+33.9+3441.8+1127+11820.4+4421.6+307.4+1844.4+66+205.9+78.6+193.8+117.9+150.5+0.9+1572.9+369.6+737.8+7895.9+2034.2+100.3+0.9+1120.8+1222.4+4+8.9+180.1+515.8+1219.3+11997.9+4043.1+0.1+124.1+88.2+2844.637+2.5+781.8+7929.5+2777.4+2069.6+0.4+7.6+55.2+549.6+6132.1+3997.5+7281+1150+954.5+699.4</f>
        <v>204118.33699999988</v>
      </c>
      <c r="E18" s="3">
        <f>D18/D156*100</f>
        <v>16.555521926441934</v>
      </c>
      <c r="F18" s="3">
        <f>D18/B18*100</f>
        <v>80.41099959896594</v>
      </c>
      <c r="G18" s="3">
        <f t="shared" si="0"/>
        <v>48.77887803842882</v>
      </c>
      <c r="H18" s="156">
        <f t="shared" si="4"/>
        <v>49725.463000000105</v>
      </c>
      <c r="I18" s="36">
        <f t="shared" si="2"/>
        <v>214338.0630000002</v>
      </c>
      <c r="J18" s="135"/>
      <c r="L18" s="136">
        <f>H18-H19</f>
        <v>34380.20000000011</v>
      </c>
    </row>
    <row r="19" spans="1:9" s="84" customFormat="1" ht="18.75">
      <c r="A19" s="121" t="s">
        <v>80</v>
      </c>
      <c r="B19" s="122">
        <v>119666.4</v>
      </c>
      <c r="C19" s="123">
        <f>204458.2+897.7+0.2</f>
        <v>205356.10000000003</v>
      </c>
      <c r="D19" s="124">
        <f>9880.4+236.6+6921+499.9+9964.9+430.2+258.6+5793.8+50.4+1023.5+21.4+9702.8+983.7+1447.3+3314.6+585.3+0.7+743.9+7774.7+2133.2+803.2+33.9+1127+4421.6+78.6+109.2-187.8+369.6+7895.9+2034.2+1222.4+1219.3+4043.1+66+78.6+109.2+124.1+465.537+7929.5+2777.4+1429.6+7.6+549.6+3997.5+1150+699.4</f>
        <v>104321.137</v>
      </c>
      <c r="E19" s="125">
        <f>D19/D18*100</f>
        <v>51.108165260037396</v>
      </c>
      <c r="F19" s="125">
        <f t="shared" si="3"/>
        <v>87.17663186993175</v>
      </c>
      <c r="G19" s="125">
        <f t="shared" si="0"/>
        <v>50.800115993632524</v>
      </c>
      <c r="H19" s="124">
        <f t="shared" si="4"/>
        <v>15345.262999999992</v>
      </c>
      <c r="I19" s="124">
        <f t="shared" si="2"/>
        <v>101034.96300000003</v>
      </c>
    </row>
    <row r="20" spans="1:9" s="135" customFormat="1" ht="18" hidden="1">
      <c r="A20" s="89" t="s">
        <v>5</v>
      </c>
      <c r="B20" s="108"/>
      <c r="C20" s="109"/>
      <c r="D20" s="91"/>
      <c r="E20" s="93">
        <f>D20/D18*100</f>
        <v>0</v>
      </c>
      <c r="F20" s="93" t="e">
        <f t="shared" si="3"/>
        <v>#DIV/0!</v>
      </c>
      <c r="G20" s="93" t="e">
        <f t="shared" si="0"/>
        <v>#DIV/0!</v>
      </c>
      <c r="H20" s="91">
        <f t="shared" si="4"/>
        <v>0</v>
      </c>
      <c r="I20" s="91">
        <f t="shared" si="2"/>
        <v>0</v>
      </c>
    </row>
    <row r="21" spans="1:9" s="135" customFormat="1" ht="18" hidden="1">
      <c r="A21" s="89" t="s">
        <v>2</v>
      </c>
      <c r="B21" s="108"/>
      <c r="C21" s="109"/>
      <c r="D21" s="91"/>
      <c r="E21" s="93">
        <f>D21/D18*100</f>
        <v>0</v>
      </c>
      <c r="F21" s="93" t="e">
        <f t="shared" si="3"/>
        <v>#DIV/0!</v>
      </c>
      <c r="G21" s="93" t="e">
        <f t="shared" si="0"/>
        <v>#DIV/0!</v>
      </c>
      <c r="H21" s="91">
        <f t="shared" si="4"/>
        <v>0</v>
      </c>
      <c r="I21" s="91">
        <f t="shared" si="2"/>
        <v>0</v>
      </c>
    </row>
    <row r="22" spans="1:9" s="135" customFormat="1" ht="18" hidden="1">
      <c r="A22" s="89" t="s">
        <v>1</v>
      </c>
      <c r="B22" s="108"/>
      <c r="C22" s="109"/>
      <c r="D22" s="91"/>
      <c r="E22" s="93">
        <f>D22/D18*100</f>
        <v>0</v>
      </c>
      <c r="F22" s="93" t="e">
        <f t="shared" si="3"/>
        <v>#DIV/0!</v>
      </c>
      <c r="G22" s="93" t="e">
        <f t="shared" si="0"/>
        <v>#DIV/0!</v>
      </c>
      <c r="H22" s="91">
        <f t="shared" si="4"/>
        <v>0</v>
      </c>
      <c r="I22" s="91">
        <f t="shared" si="2"/>
        <v>0</v>
      </c>
    </row>
    <row r="23" spans="1:9" s="135" customFormat="1" ht="18" hidden="1">
      <c r="A23" s="89" t="s">
        <v>0</v>
      </c>
      <c r="B23" s="108"/>
      <c r="C23" s="109"/>
      <c r="D23" s="91"/>
      <c r="E23" s="93">
        <f>D23/D18*100</f>
        <v>0</v>
      </c>
      <c r="F23" s="93" t="e">
        <f t="shared" si="3"/>
        <v>#DIV/0!</v>
      </c>
      <c r="G23" s="93" t="e">
        <f t="shared" si="0"/>
        <v>#DIV/0!</v>
      </c>
      <c r="H23" s="91">
        <f t="shared" si="4"/>
        <v>0</v>
      </c>
      <c r="I23" s="91">
        <f t="shared" si="2"/>
        <v>0</v>
      </c>
    </row>
    <row r="24" spans="1:9" s="135" customFormat="1" ht="18">
      <c r="A24" s="89" t="s">
        <v>12</v>
      </c>
      <c r="B24" s="108">
        <v>587.5</v>
      </c>
      <c r="C24" s="109">
        <v>999.4</v>
      </c>
      <c r="D24" s="91">
        <f>199.2+100.3+88.2+109</f>
        <v>496.7</v>
      </c>
      <c r="E24" s="93">
        <f>D24/D18*100</f>
        <v>0.24333923512222239</v>
      </c>
      <c r="F24" s="93">
        <f t="shared" si="3"/>
        <v>84.54468085106383</v>
      </c>
      <c r="G24" s="93">
        <f t="shared" si="0"/>
        <v>49.69981989193516</v>
      </c>
      <c r="H24" s="91">
        <f t="shared" si="4"/>
        <v>90.80000000000001</v>
      </c>
      <c r="I24" s="91">
        <f t="shared" si="2"/>
        <v>502.7</v>
      </c>
    </row>
    <row r="25" spans="1:9" s="135" customFormat="1" ht="18.75" thickBot="1">
      <c r="A25" s="89" t="s">
        <v>25</v>
      </c>
      <c r="B25" s="109">
        <f>B18-B24</f>
        <v>253256.3</v>
      </c>
      <c r="C25" s="109">
        <f>C18-C24</f>
        <v>417457.00000000006</v>
      </c>
      <c r="D25" s="109">
        <f>D18-D24</f>
        <v>203621.63699999987</v>
      </c>
      <c r="E25" s="93">
        <f>D25/D18*100</f>
        <v>99.75666076487776</v>
      </c>
      <c r="F25" s="93">
        <f t="shared" si="3"/>
        <v>80.4014103499103</v>
      </c>
      <c r="G25" s="93">
        <f t="shared" si="0"/>
        <v>48.776673286110864</v>
      </c>
      <c r="H25" s="91">
        <f t="shared" si="4"/>
        <v>49634.66300000012</v>
      </c>
      <c r="I25" s="91">
        <f t="shared" si="2"/>
        <v>213835.3630000002</v>
      </c>
    </row>
    <row r="26" spans="1:10" ht="57" hidden="1" thickBot="1">
      <c r="A26" s="69" t="s">
        <v>67</v>
      </c>
      <c r="B26" s="32"/>
      <c r="C26" s="32"/>
      <c r="D26" s="32"/>
      <c r="E26" s="1"/>
      <c r="F26" s="1" t="e">
        <f t="shared" si="3"/>
        <v>#DIV/0!</v>
      </c>
      <c r="G26" s="1" t="e">
        <f t="shared" si="0"/>
        <v>#DIV/0!</v>
      </c>
      <c r="H26" s="91">
        <f t="shared" si="4"/>
        <v>0</v>
      </c>
      <c r="I26" s="33">
        <f t="shared" si="2"/>
        <v>0</v>
      </c>
      <c r="J26" s="135"/>
    </row>
    <row r="27" spans="1:10" ht="36.75" customHeight="1" hidden="1">
      <c r="A27" s="69" t="s">
        <v>68</v>
      </c>
      <c r="B27" s="32"/>
      <c r="C27" s="32"/>
      <c r="D27" s="32"/>
      <c r="E27" s="1"/>
      <c r="F27" s="1" t="e">
        <f t="shared" si="3"/>
        <v>#DIV/0!</v>
      </c>
      <c r="G27" s="1" t="e">
        <f t="shared" si="0"/>
        <v>#DIV/0!</v>
      </c>
      <c r="H27" s="91">
        <f t="shared" si="4"/>
        <v>0</v>
      </c>
      <c r="I27" s="33">
        <f t="shared" si="2"/>
        <v>0</v>
      </c>
      <c r="J27" s="135"/>
    </row>
    <row r="28" spans="1:10" ht="19.5" hidden="1" thickBot="1">
      <c r="A28" s="69" t="s">
        <v>69</v>
      </c>
      <c r="B28" s="32"/>
      <c r="C28" s="32"/>
      <c r="D28" s="32"/>
      <c r="E28" s="1"/>
      <c r="F28" s="1" t="e">
        <f t="shared" si="3"/>
        <v>#DIV/0!</v>
      </c>
      <c r="G28" s="1" t="e">
        <f t="shared" si="0"/>
        <v>#DIV/0!</v>
      </c>
      <c r="H28" s="91">
        <f t="shared" si="4"/>
        <v>0</v>
      </c>
      <c r="I28" s="33">
        <f t="shared" si="2"/>
        <v>0</v>
      </c>
      <c r="J28" s="135"/>
    </row>
    <row r="29" spans="1:10" ht="39.75" customHeight="1" hidden="1">
      <c r="A29" s="69" t="s">
        <v>70</v>
      </c>
      <c r="B29" s="32"/>
      <c r="C29" s="32"/>
      <c r="D29" s="32"/>
      <c r="E29" s="1"/>
      <c r="F29" s="1" t="e">
        <f t="shared" si="3"/>
        <v>#DIV/0!</v>
      </c>
      <c r="G29" s="1" t="e">
        <f t="shared" si="0"/>
        <v>#DIV/0!</v>
      </c>
      <c r="H29" s="91">
        <f t="shared" si="4"/>
        <v>0</v>
      </c>
      <c r="I29" s="33">
        <f t="shared" si="2"/>
        <v>0</v>
      </c>
      <c r="J29" s="135"/>
    </row>
    <row r="30" spans="1:10" ht="37.5" customHeight="1" hidden="1">
      <c r="A30" s="69" t="s">
        <v>71</v>
      </c>
      <c r="B30" s="32"/>
      <c r="C30" s="32"/>
      <c r="D30" s="32"/>
      <c r="E30" s="1"/>
      <c r="F30" s="1" t="e">
        <f>D30/B30*100</f>
        <v>#DIV/0!</v>
      </c>
      <c r="G30" s="1" t="e">
        <f t="shared" si="0"/>
        <v>#DIV/0!</v>
      </c>
      <c r="H30" s="91">
        <f t="shared" si="4"/>
        <v>0</v>
      </c>
      <c r="I30" s="33">
        <f t="shared" si="2"/>
        <v>0</v>
      </c>
      <c r="J30" s="135"/>
    </row>
    <row r="31" spans="1:10" ht="36" customHeight="1" hidden="1">
      <c r="A31" s="69" t="s">
        <v>72</v>
      </c>
      <c r="B31" s="32"/>
      <c r="C31" s="32"/>
      <c r="D31" s="32"/>
      <c r="E31" s="1"/>
      <c r="F31" s="1" t="e">
        <f t="shared" si="3"/>
        <v>#DIV/0!</v>
      </c>
      <c r="G31" s="1" t="e">
        <f t="shared" si="0"/>
        <v>#DIV/0!</v>
      </c>
      <c r="H31" s="91">
        <f t="shared" si="4"/>
        <v>0</v>
      </c>
      <c r="I31" s="33">
        <f t="shared" si="2"/>
        <v>0</v>
      </c>
      <c r="J31" s="135"/>
    </row>
    <row r="32" spans="1:10" ht="19.5" hidden="1" thickBot="1">
      <c r="A32" s="69" t="s">
        <v>73</v>
      </c>
      <c r="B32" s="32"/>
      <c r="C32" s="32"/>
      <c r="D32" s="32"/>
      <c r="E32" s="1"/>
      <c r="F32" s="1" t="e">
        <f t="shared" si="3"/>
        <v>#DIV/0!</v>
      </c>
      <c r="G32" s="1" t="e">
        <f t="shared" si="0"/>
        <v>#DIV/0!</v>
      </c>
      <c r="H32" s="91">
        <f t="shared" si="4"/>
        <v>0</v>
      </c>
      <c r="I32" s="33">
        <f t="shared" si="2"/>
        <v>0</v>
      </c>
      <c r="J32" s="135"/>
    </row>
    <row r="33" spans="1:10" ht="18.75" thickBot="1">
      <c r="A33" s="18" t="s">
        <v>15</v>
      </c>
      <c r="B33" s="34">
        <f>15370+16.9+150.8</f>
        <v>15537.699999999999</v>
      </c>
      <c r="C33" s="35">
        <f>26954.8-20-52+351.2</f>
        <v>27234</v>
      </c>
      <c r="D33" s="38">
        <f>238.4+293+43.5+2+39.3+520.9+174.4+181.2+85.5+20.9+137.9+290.2+173.9+53.1+2.1+1.1+14+954.2-0.1+111.5+189.8+1.9+691.6+343.2+7.5-0.1+137+2.4+142.9+7.4+11.4+645.7+261.4-0.1+185.8+10+194.2+438.5+103.2+2.9+164.1+18.2+9.3+153.4+826.8+25.7+38.5-19.8+185.8+167.7+21.7+0.2+135.6+509+5.2+212.9+78.3+42+36.8+20.7+245.8+658.7+30.6+7+185.8+299.1+484.9+0.1+137+69.6+800.9+7.9+19.1+185.8+4.3+148.9</f>
        <v>12631.199999999997</v>
      </c>
      <c r="E33" s="3">
        <f>D33/D156*100</f>
        <v>1.0244846770296459</v>
      </c>
      <c r="F33" s="3">
        <f>D33/B33*100</f>
        <v>81.29388519536353</v>
      </c>
      <c r="G33" s="155">
        <f t="shared" si="0"/>
        <v>46.38025996915619</v>
      </c>
      <c r="H33" s="156">
        <f t="shared" si="4"/>
        <v>2906.500000000002</v>
      </c>
      <c r="I33" s="36">
        <f t="shared" si="2"/>
        <v>14602.800000000003</v>
      </c>
      <c r="J33" s="135"/>
    </row>
    <row r="34" spans="1:9" s="135" customFormat="1" ht="18">
      <c r="A34" s="89" t="s">
        <v>3</v>
      </c>
      <c r="B34" s="108">
        <v>8465</v>
      </c>
      <c r="C34" s="109">
        <v>14255.8</v>
      </c>
      <c r="D34" s="91">
        <f>95.5+254.3+520.9+145.6+77.4+290.2+14+629.4+494.6+11.4+607.6+26.4+384.9+103.2+27.1+151.5+461.6+16.4+14.3-0.2+100.6+400.5+180.4+615.1+100.6+396.6-0.2+1.8+800.9+4.3</f>
        <v>6926.700000000002</v>
      </c>
      <c r="E34" s="93">
        <f>D34/D33*100</f>
        <v>54.83802014060425</v>
      </c>
      <c r="F34" s="93">
        <f t="shared" si="3"/>
        <v>81.82752510336682</v>
      </c>
      <c r="G34" s="93">
        <f t="shared" si="0"/>
        <v>48.58864462183814</v>
      </c>
      <c r="H34" s="91">
        <f t="shared" si="4"/>
        <v>1538.2999999999984</v>
      </c>
      <c r="I34" s="91">
        <f t="shared" si="2"/>
        <v>7329.099999999998</v>
      </c>
    </row>
    <row r="35" spans="1:9" s="135" customFormat="1" ht="18">
      <c r="A35" s="89" t="s">
        <v>1</v>
      </c>
      <c r="B35" s="108">
        <v>54.5</v>
      </c>
      <c r="C35" s="109">
        <f>87.1-32.6</f>
        <v>54.49999999999999</v>
      </c>
      <c r="D35" s="91">
        <f>10+2+7.5+3+1.9+26.2+3.9</f>
        <v>54.49999999999999</v>
      </c>
      <c r="E35" s="93">
        <f>D35/D33*100</f>
        <v>0.4314712774716576</v>
      </c>
      <c r="F35" s="93">
        <f t="shared" si="3"/>
        <v>99.99999999999999</v>
      </c>
      <c r="G35" s="93">
        <f t="shared" si="0"/>
        <v>100</v>
      </c>
      <c r="H35" s="91">
        <f t="shared" si="4"/>
        <v>0</v>
      </c>
      <c r="I35" s="91">
        <f t="shared" si="2"/>
        <v>0</v>
      </c>
    </row>
    <row r="36" spans="1:9" s="135" customFormat="1" ht="18">
      <c r="A36" s="89" t="s">
        <v>0</v>
      </c>
      <c r="B36" s="108">
        <v>1183.4</v>
      </c>
      <c r="C36" s="109">
        <f>2087.8+0.3</f>
        <v>2088.1000000000004</v>
      </c>
      <c r="D36" s="91">
        <f>1.1+273.8+98.4+76.8+0.5+2.1+0.3+6.6+52.2+342.8+0.4+3.3+12.2+25.8+7.1+2.1+70+0.1+0.7+1.9</f>
        <v>978.2000000000002</v>
      </c>
      <c r="E36" s="93">
        <f>D36/D33*100</f>
        <v>7.744315662803221</v>
      </c>
      <c r="F36" s="93">
        <f t="shared" si="3"/>
        <v>82.66013182355924</v>
      </c>
      <c r="G36" s="93">
        <f t="shared" si="0"/>
        <v>46.846415401561224</v>
      </c>
      <c r="H36" s="91">
        <f t="shared" si="4"/>
        <v>205.19999999999993</v>
      </c>
      <c r="I36" s="91">
        <f t="shared" si="2"/>
        <v>1109.9</v>
      </c>
    </row>
    <row r="37" spans="1:9" s="84" customFormat="1" ht="18.75">
      <c r="A37" s="149" t="s">
        <v>7</v>
      </c>
      <c r="B37" s="119">
        <v>358.6</v>
      </c>
      <c r="C37" s="120">
        <v>1082.6</v>
      </c>
      <c r="D37" s="94">
        <f>38.7+2+2.3+2.6+2.1+1.9+12.2+7.5+2.4+10+18.2+1.9+7.4-0.2+35+64.9+5.2+1.5+33.7</f>
        <v>249.3</v>
      </c>
      <c r="E37" s="96">
        <f>D37/D33*100</f>
        <v>1.9736842105263164</v>
      </c>
      <c r="F37" s="96">
        <f t="shared" si="3"/>
        <v>69.52035694366982</v>
      </c>
      <c r="G37" s="96">
        <f t="shared" si="0"/>
        <v>23.02789580639202</v>
      </c>
      <c r="H37" s="87">
        <f t="shared" si="4"/>
        <v>109.30000000000001</v>
      </c>
      <c r="I37" s="94">
        <f t="shared" si="2"/>
        <v>833.3</v>
      </c>
    </row>
    <row r="38" spans="1:9" s="135" customFormat="1" ht="18">
      <c r="A38" s="89" t="s">
        <v>12</v>
      </c>
      <c r="B38" s="108">
        <v>113.5</v>
      </c>
      <c r="C38" s="109">
        <f>221.9+8.7-26.1</f>
        <v>204.5</v>
      </c>
      <c r="D38" s="109">
        <f>5.1+45.9+8.7</f>
        <v>59.7</v>
      </c>
      <c r="E38" s="93">
        <f>D38/D33*100</f>
        <v>0.47263917917537535</v>
      </c>
      <c r="F38" s="93">
        <f t="shared" si="3"/>
        <v>52.59911894273128</v>
      </c>
      <c r="G38" s="93">
        <f t="shared" si="0"/>
        <v>29.193154034229828</v>
      </c>
      <c r="H38" s="91">
        <f t="shared" si="4"/>
        <v>53.8</v>
      </c>
      <c r="I38" s="91">
        <f t="shared" si="2"/>
        <v>144.8</v>
      </c>
    </row>
    <row r="39" spans="1:9" s="135" customFormat="1" ht="18.75" thickBot="1">
      <c r="A39" s="89" t="s">
        <v>25</v>
      </c>
      <c r="B39" s="108">
        <f>B33-B34-B36-B37-B35-B38</f>
        <v>5362.699999999999</v>
      </c>
      <c r="C39" s="108">
        <f>C33-C34-C36-C37-C35-C38</f>
        <v>9548.5</v>
      </c>
      <c r="D39" s="108">
        <f>D33-D34-D36-D37-D35-D38</f>
        <v>4362.799999999996</v>
      </c>
      <c r="E39" s="93">
        <f>D39/D33*100</f>
        <v>34.539869529419185</v>
      </c>
      <c r="F39" s="93">
        <f t="shared" si="3"/>
        <v>81.35454155555963</v>
      </c>
      <c r="G39" s="93">
        <f t="shared" si="0"/>
        <v>45.690946221919624</v>
      </c>
      <c r="H39" s="91">
        <f t="shared" si="4"/>
        <v>999.9000000000033</v>
      </c>
      <c r="I39" s="91">
        <f t="shared" si="2"/>
        <v>5185.700000000004</v>
      </c>
    </row>
    <row r="40" spans="1:10" ht="19.5" hidden="1" thickBot="1">
      <c r="A40" s="69" t="s">
        <v>64</v>
      </c>
      <c r="B40" s="70"/>
      <c r="C40" s="70"/>
      <c r="D40" s="70"/>
      <c r="E40" s="68"/>
      <c r="F40" s="68" t="e">
        <f t="shared" si="3"/>
        <v>#DIV/0!</v>
      </c>
      <c r="G40" s="68" t="e">
        <f t="shared" si="0"/>
        <v>#DIV/0!</v>
      </c>
      <c r="H40" s="91">
        <f t="shared" si="4"/>
        <v>0</v>
      </c>
      <c r="I40" s="72">
        <f t="shared" si="2"/>
        <v>0</v>
      </c>
      <c r="J40" s="135"/>
    </row>
    <row r="41" spans="1:10" ht="19.5" hidden="1" thickBot="1">
      <c r="A41" s="69" t="s">
        <v>65</v>
      </c>
      <c r="B41" s="70"/>
      <c r="C41" s="70"/>
      <c r="D41" s="70"/>
      <c r="E41" s="68"/>
      <c r="F41" s="68" t="e">
        <f t="shared" si="3"/>
        <v>#DIV/0!</v>
      </c>
      <c r="G41" s="68" t="e">
        <f t="shared" si="0"/>
        <v>#DIV/0!</v>
      </c>
      <c r="H41" s="91">
        <f t="shared" si="4"/>
        <v>0</v>
      </c>
      <c r="I41" s="72">
        <f t="shared" si="2"/>
        <v>0</v>
      </c>
      <c r="J41" s="135"/>
    </row>
    <row r="42" spans="1:10" ht="38.25" hidden="1" thickBot="1">
      <c r="A42" s="69" t="s">
        <v>66</v>
      </c>
      <c r="B42" s="70"/>
      <c r="C42" s="70"/>
      <c r="D42" s="70"/>
      <c r="E42" s="68"/>
      <c r="F42" s="68"/>
      <c r="G42" s="68" t="e">
        <f t="shared" si="0"/>
        <v>#DIV/0!</v>
      </c>
      <c r="H42" s="91">
        <f t="shared" si="4"/>
        <v>0</v>
      </c>
      <c r="I42" s="72">
        <f t="shared" si="2"/>
        <v>0</v>
      </c>
      <c r="J42" s="135"/>
    </row>
    <row r="43" spans="1:10" ht="19.5" thickBot="1">
      <c r="A43" s="11" t="s">
        <v>14</v>
      </c>
      <c r="B43" s="71">
        <v>569</v>
      </c>
      <c r="C43" s="35">
        <f>955.1+25</f>
        <v>980.1</v>
      </c>
      <c r="D43" s="36">
        <f>18+9.7+7.2+11.6+18.4+18.7+25.1+13.5+2.2+2+16.6+22.9+12+21+7.7+15.6+10+15+10+0.1+10.1+18.6+9+50.3+7+2+8+16.2+27.7+2+2+2+5.5+4</f>
        <v>421.7000000000001</v>
      </c>
      <c r="E43" s="3">
        <f>D43/D156*100</f>
        <v>0.03420302016462425</v>
      </c>
      <c r="F43" s="3">
        <f>D43/B43*100</f>
        <v>74.11247803163447</v>
      </c>
      <c r="G43" s="3">
        <f t="shared" si="0"/>
        <v>43.026221814100616</v>
      </c>
      <c r="H43" s="156">
        <f t="shared" si="4"/>
        <v>147.2999999999999</v>
      </c>
      <c r="I43" s="36">
        <f t="shared" si="2"/>
        <v>558.3999999999999</v>
      </c>
      <c r="J43" s="135"/>
    </row>
    <row r="44" spans="1:10" ht="18.75" hidden="1" thickBot="1">
      <c r="A44" s="147" t="s">
        <v>12</v>
      </c>
      <c r="B44" s="143">
        <v>0</v>
      </c>
      <c r="C44" s="144">
        <f>51.5-51.5</f>
        <v>0</v>
      </c>
      <c r="D44" s="145">
        <v>0</v>
      </c>
      <c r="E44" s="146">
        <f>D44/D39*100</f>
        <v>0</v>
      </c>
      <c r="F44" s="146" t="e">
        <f>D44/B44*100</f>
        <v>#DIV/0!</v>
      </c>
      <c r="G44" s="146" t="e">
        <f>D44/C44*100</f>
        <v>#DIV/0!</v>
      </c>
      <c r="H44" s="91">
        <f t="shared" si="4"/>
        <v>0</v>
      </c>
      <c r="I44" s="145">
        <f>C44-D44</f>
        <v>0</v>
      </c>
      <c r="J44" s="135"/>
    </row>
    <row r="45" spans="1:11" ht="12" customHeight="1" thickBot="1">
      <c r="A45" s="21"/>
      <c r="B45" s="42"/>
      <c r="C45" s="43"/>
      <c r="D45" s="44"/>
      <c r="E45" s="7"/>
      <c r="F45" s="7"/>
      <c r="G45" s="7"/>
      <c r="H45" s="44"/>
      <c r="I45" s="44"/>
      <c r="J45" s="135"/>
      <c r="K45" s="135"/>
    </row>
    <row r="46" spans="1:11" ht="18.75" thickBot="1">
      <c r="A46" s="18" t="s">
        <v>42</v>
      </c>
      <c r="B46" s="34">
        <f>9772.5+32.7</f>
        <v>9805.2</v>
      </c>
      <c r="C46" s="35">
        <f>16742.1+33.6+125</f>
        <v>16900.699999999997</v>
      </c>
      <c r="D46" s="36">
        <f>346.4+682.6-0.1+14.1+556.7+0.1+721.1+127.1+71.4+15.4+390.3+13.9+56.1+905.8+4.8+61.3+2.9+439.8+0.3+42+847.9+8.3+402.3+0.1+20.1+0.2+4.4+30.8+63.8+859.4+10.5+475.1+926.2+39.3</f>
        <v>8140.4000000000015</v>
      </c>
      <c r="E46" s="3">
        <f>D46/D156*100</f>
        <v>0.6602472500547955</v>
      </c>
      <c r="F46" s="3">
        <f>D46/B46*100</f>
        <v>83.0212540284747</v>
      </c>
      <c r="G46" s="3">
        <f aca="true" t="shared" si="5" ref="G46:G78">D46/C46*100</f>
        <v>48.166052293692</v>
      </c>
      <c r="H46" s="36">
        <f>B46-D46</f>
        <v>1664.7999999999993</v>
      </c>
      <c r="I46" s="36">
        <f aca="true" t="shared" si="6" ref="I46:I79">C46-D46</f>
        <v>8760.299999999996</v>
      </c>
      <c r="J46" s="135"/>
      <c r="K46" s="135"/>
    </row>
    <row r="47" spans="1:9" s="135" customFormat="1" ht="18">
      <c r="A47" s="89" t="s">
        <v>3</v>
      </c>
      <c r="B47" s="108">
        <v>8764.5</v>
      </c>
      <c r="C47" s="109">
        <v>15270.9</v>
      </c>
      <c r="D47" s="91">
        <f>332.5+633.1+14.1+510.1+691.2+14.1+377.2-0.1+896.5+425+839.9+7+383.6+0.2+7+859.2+449.3+922.6</f>
        <v>7362.5</v>
      </c>
      <c r="E47" s="93">
        <f>D47/D46*100</f>
        <v>90.44395852783646</v>
      </c>
      <c r="F47" s="93">
        <f aca="true" t="shared" si="7" ref="F47:F76">D47/B47*100</f>
        <v>84.00365109247532</v>
      </c>
      <c r="G47" s="93">
        <f t="shared" si="5"/>
        <v>48.21261353292864</v>
      </c>
      <c r="H47" s="91">
        <f aca="true" t="shared" si="8" ref="H47:H76">B47-D47</f>
        <v>1402</v>
      </c>
      <c r="I47" s="91">
        <f t="shared" si="6"/>
        <v>7908.4</v>
      </c>
    </row>
    <row r="48" spans="1:9" s="135" customFormat="1" ht="18">
      <c r="A48" s="89" t="s">
        <v>2</v>
      </c>
      <c r="B48" s="108">
        <v>0.9</v>
      </c>
      <c r="C48" s="109">
        <v>1.6</v>
      </c>
      <c r="D48" s="91">
        <v>0.9</v>
      </c>
      <c r="E48" s="93">
        <f>D48/D46*100</f>
        <v>0.011055967765711756</v>
      </c>
      <c r="F48" s="93">
        <f t="shared" si="7"/>
        <v>100</v>
      </c>
      <c r="G48" s="93">
        <f t="shared" si="5"/>
        <v>56.25</v>
      </c>
      <c r="H48" s="91">
        <f t="shared" si="8"/>
        <v>0</v>
      </c>
      <c r="I48" s="91">
        <f t="shared" si="6"/>
        <v>0.7000000000000001</v>
      </c>
    </row>
    <row r="49" spans="1:9" s="135" customFormat="1" ht="18">
      <c r="A49" s="89" t="s">
        <v>1</v>
      </c>
      <c r="B49" s="108">
        <v>62.4</v>
      </c>
      <c r="C49" s="109">
        <v>106.3</v>
      </c>
      <c r="D49" s="91">
        <f>8.3+10.5+10.2+9.5+10.6</f>
        <v>49.1</v>
      </c>
      <c r="E49" s="93">
        <f>D49/D46*100</f>
        <v>0.6031644636627193</v>
      </c>
      <c r="F49" s="93">
        <f t="shared" si="7"/>
        <v>78.68589743589745</v>
      </c>
      <c r="G49" s="93">
        <f t="shared" si="5"/>
        <v>46.190028222013176</v>
      </c>
      <c r="H49" s="91">
        <f t="shared" si="8"/>
        <v>13.299999999999997</v>
      </c>
      <c r="I49" s="91">
        <f t="shared" si="6"/>
        <v>57.199999999999996</v>
      </c>
    </row>
    <row r="50" spans="1:9" s="135" customFormat="1" ht="18">
      <c r="A50" s="89" t="s">
        <v>0</v>
      </c>
      <c r="B50" s="108">
        <v>705.7</v>
      </c>
      <c r="C50" s="109">
        <v>998.4</v>
      </c>
      <c r="D50" s="91">
        <f>13.9+43.7+37.9+3.3+112.6+65.7+2.1+15.6+56.1+2.7+37.7+0.1+42+5.3+1.3+11.6+20.1+0.2+56.8+3.9+4</f>
        <v>536.6</v>
      </c>
      <c r="E50" s="93">
        <f>D50/D46*100</f>
        <v>6.5918136700899215</v>
      </c>
      <c r="F50" s="93">
        <f t="shared" si="7"/>
        <v>76.03797647725662</v>
      </c>
      <c r="G50" s="93">
        <f t="shared" si="5"/>
        <v>53.74599358974359</v>
      </c>
      <c r="H50" s="91">
        <f t="shared" si="8"/>
        <v>169.10000000000002</v>
      </c>
      <c r="I50" s="91">
        <f t="shared" si="6"/>
        <v>461.79999999999995</v>
      </c>
    </row>
    <row r="51" spans="1:9" s="135" customFormat="1" ht="18.75" thickBot="1">
      <c r="A51" s="89" t="s">
        <v>25</v>
      </c>
      <c r="B51" s="109">
        <f>B46-B47-B50-B49-B48</f>
        <v>271.7000000000007</v>
      </c>
      <c r="C51" s="109">
        <f>C46-C47-C50-C49-C48</f>
        <v>523.4999999999975</v>
      </c>
      <c r="D51" s="109">
        <f>D46-D47-D50-D49-D48</f>
        <v>191.30000000000143</v>
      </c>
      <c r="E51" s="93">
        <f>D51/D46*100</f>
        <v>2.3500073706451943</v>
      </c>
      <c r="F51" s="93">
        <f t="shared" si="7"/>
        <v>70.4085388295918</v>
      </c>
      <c r="G51" s="93">
        <f t="shared" si="5"/>
        <v>36.542502387775045</v>
      </c>
      <c r="H51" s="91">
        <f t="shared" si="8"/>
        <v>80.3999999999993</v>
      </c>
      <c r="I51" s="91">
        <f t="shared" si="6"/>
        <v>332.19999999999607</v>
      </c>
    </row>
    <row r="52" spans="1:10" ht="18.75" thickBot="1">
      <c r="A52" s="18" t="s">
        <v>4</v>
      </c>
      <c r="B52" s="34">
        <f>32326-400</f>
        <v>31926</v>
      </c>
      <c r="C52" s="35">
        <f>54626.8-33-1640-1100-400</f>
        <v>51453.8</v>
      </c>
      <c r="D52" s="36">
        <f>721.7+145.3+5+112.8+1132.7+7.6+9.6+17.1+0.3+1056.5+185.3+56.2+95+1327.2+403.4+2.3+70.2+233.5+966+52.7+123+9.9-0.1+532.2+8.3+75.6+313.4+1771.2+5.9+0.1+98.2+182.6+0.5+835.2+180.6+94+438+427.3+1076.3+1039.4+79.1+111.2+17.3+0.9+739.5+444.4+20.9+23.9+170.6+0.2+2.6+429.3+1723.7+269.1+25.4-0.2+5.4+97.7+7.4+82.9+1256.8+170.3+0.1+371.9+2726.2+63+78.1+193+4+175.2</f>
        <v>23101.9</v>
      </c>
      <c r="E52" s="3">
        <f>D52/D156*100</f>
        <v>1.8737366647880789</v>
      </c>
      <c r="F52" s="3">
        <f>D52/B52*100</f>
        <v>72.36077178475225</v>
      </c>
      <c r="G52" s="3">
        <f t="shared" si="5"/>
        <v>44.898335982959466</v>
      </c>
      <c r="H52" s="36">
        <f>B52-D52</f>
        <v>8824.099999999999</v>
      </c>
      <c r="I52" s="36">
        <f t="shared" si="6"/>
        <v>28351.9</v>
      </c>
      <c r="J52" s="135"/>
    </row>
    <row r="53" spans="1:9" s="135" customFormat="1" ht="18">
      <c r="A53" s="89" t="s">
        <v>3</v>
      </c>
      <c r="B53" s="108">
        <v>17012.5</v>
      </c>
      <c r="C53" s="109">
        <v>25959.9</v>
      </c>
      <c r="D53" s="91">
        <f>721.7+980.4+865.2+984.4+270.7+792.3+9.9+66.7+1210.9+835.2+313.7+945.1+17.3+739.5+1432.2+7.4+1036.6-0.2+2347.5+193</f>
        <v>13769.5</v>
      </c>
      <c r="E53" s="93">
        <f>D53/D52*100</f>
        <v>59.603322670429705</v>
      </c>
      <c r="F53" s="93">
        <f t="shared" si="7"/>
        <v>80.9375459221161</v>
      </c>
      <c r="G53" s="93">
        <f t="shared" si="5"/>
        <v>53.041421577124716</v>
      </c>
      <c r="H53" s="91">
        <f t="shared" si="8"/>
        <v>3243</v>
      </c>
      <c r="I53" s="91">
        <f t="shared" si="6"/>
        <v>12190.400000000001</v>
      </c>
    </row>
    <row r="54" spans="1:9" s="135" customFormat="1" ht="18">
      <c r="A54" s="89" t="s">
        <v>2</v>
      </c>
      <c r="B54" s="108"/>
      <c r="C54" s="109">
        <v>16.4</v>
      </c>
      <c r="D54" s="91"/>
      <c r="E54" s="93">
        <f>D54/D52*100</f>
        <v>0</v>
      </c>
      <c r="F54" s="93" t="e">
        <f>D54/B54*100</f>
        <v>#DIV/0!</v>
      </c>
      <c r="G54" s="93">
        <f t="shared" si="5"/>
        <v>0</v>
      </c>
      <c r="H54" s="91">
        <f t="shared" si="8"/>
        <v>0</v>
      </c>
      <c r="I54" s="91">
        <f t="shared" si="6"/>
        <v>16.4</v>
      </c>
    </row>
    <row r="55" spans="1:9" s="135" customFormat="1" ht="18">
      <c r="A55" s="89" t="s">
        <v>1</v>
      </c>
      <c r="B55" s="108">
        <v>2435.3</v>
      </c>
      <c r="C55" s="109">
        <f>4332.1-250</f>
        <v>4082.1000000000004</v>
      </c>
      <c r="D55" s="91">
        <f>3.2+7.6+9.6+11.4+10.1+24.7+6.6+7.8+2.3+6.6+70.1+102.1+3.2+185.8+105+116.2+245+84+7.3+8.9+0.2+110.8+122.9-0.1+5.4+43.7+5.9+0.4+35.5+6.2+57+84.1</f>
        <v>1489.5000000000005</v>
      </c>
      <c r="E55" s="93">
        <f>D55/D52*100</f>
        <v>6.447521632419846</v>
      </c>
      <c r="F55" s="93">
        <f t="shared" si="7"/>
        <v>61.16289574179774</v>
      </c>
      <c r="G55" s="93">
        <f t="shared" si="5"/>
        <v>36.48857205849931</v>
      </c>
      <c r="H55" s="91">
        <f t="shared" si="8"/>
        <v>945.7999999999997</v>
      </c>
      <c r="I55" s="91">
        <f t="shared" si="6"/>
        <v>2592.6</v>
      </c>
    </row>
    <row r="56" spans="1:9" s="135" customFormat="1" ht="18">
      <c r="A56" s="89" t="s">
        <v>0</v>
      </c>
      <c r="B56" s="108">
        <v>804.1</v>
      </c>
      <c r="C56" s="109">
        <f>1406.6+3.9+1</f>
        <v>1411.5</v>
      </c>
      <c r="D56" s="91">
        <f>0.3+1.2+21.4+80.5+2.4+14.5+22.9+268+5.9+0.1+8.8+0.5+18.5+22.5+0.1+5.1+69.1+23+1.1+16.4+1+37.3+17.3+14.3+2.9+3.7+0.1+2.9+7.3+0.4</f>
        <v>669.4999999999999</v>
      </c>
      <c r="E56" s="93">
        <f>D56/D52*100</f>
        <v>2.898030032161856</v>
      </c>
      <c r="F56" s="93">
        <f t="shared" si="7"/>
        <v>83.26078845914685</v>
      </c>
      <c r="G56" s="93">
        <f t="shared" si="5"/>
        <v>47.43181013106623</v>
      </c>
      <c r="H56" s="91">
        <f t="shared" si="8"/>
        <v>134.60000000000014</v>
      </c>
      <c r="I56" s="91">
        <f t="shared" si="6"/>
        <v>742.0000000000001</v>
      </c>
    </row>
    <row r="57" spans="1:9" s="135" customFormat="1" ht="18">
      <c r="A57" s="89" t="s">
        <v>12</v>
      </c>
      <c r="B57" s="108">
        <v>2079.7</v>
      </c>
      <c r="C57" s="109">
        <f>4640-960</f>
        <v>3680</v>
      </c>
      <c r="D57" s="109">
        <f>227+242+245+245+245</f>
        <v>1204</v>
      </c>
      <c r="E57" s="93">
        <f>D57/D52*100</f>
        <v>5.211692544769045</v>
      </c>
      <c r="F57" s="93">
        <f>D57/B57*100</f>
        <v>57.89296533153821</v>
      </c>
      <c r="G57" s="93">
        <f>D57/C57*100</f>
        <v>32.71739130434783</v>
      </c>
      <c r="H57" s="91">
        <f t="shared" si="8"/>
        <v>875.6999999999998</v>
      </c>
      <c r="I57" s="91">
        <f t="shared" si="6"/>
        <v>2476</v>
      </c>
    </row>
    <row r="58" spans="1:9" s="135" customFormat="1" ht="18.75" thickBot="1">
      <c r="A58" s="89" t="s">
        <v>25</v>
      </c>
      <c r="B58" s="109">
        <f>B52-B53-B56-B55-B54-B57</f>
        <v>9594.399999999998</v>
      </c>
      <c r="C58" s="109">
        <f>C52-C53-C56-C55-C54-C57</f>
        <v>16303.900000000001</v>
      </c>
      <c r="D58" s="109">
        <f>D52-D53-D56-D55-D54-D57</f>
        <v>5969.4000000000015</v>
      </c>
      <c r="E58" s="93">
        <f>D58/D52*100</f>
        <v>25.839433120219553</v>
      </c>
      <c r="F58" s="93">
        <f t="shared" si="7"/>
        <v>62.217543567080824</v>
      </c>
      <c r="G58" s="93">
        <f t="shared" si="5"/>
        <v>36.61332564601108</v>
      </c>
      <c r="H58" s="91">
        <f>B58-D58</f>
        <v>3624.9999999999964</v>
      </c>
      <c r="I58" s="91">
        <f>C58-D58</f>
        <v>10334.5</v>
      </c>
    </row>
    <row r="59" spans="1:10" s="29" customFormat="1" ht="19.5" hidden="1" thickBot="1">
      <c r="A59" s="69" t="s">
        <v>63</v>
      </c>
      <c r="B59" s="67"/>
      <c r="C59" s="67"/>
      <c r="D59" s="67"/>
      <c r="E59" s="1"/>
      <c r="F59" s="68" t="e">
        <f t="shared" si="7"/>
        <v>#DIV/0!</v>
      </c>
      <c r="G59" s="68" t="e">
        <f t="shared" si="5"/>
        <v>#DIV/0!</v>
      </c>
      <c r="H59" s="72">
        <f t="shared" si="8"/>
        <v>0</v>
      </c>
      <c r="I59" s="72">
        <f>C59-D59</f>
        <v>0</v>
      </c>
      <c r="J59" s="84"/>
    </row>
    <row r="60" spans="1:10" ht="18.75" thickBot="1">
      <c r="A60" s="18" t="s">
        <v>6</v>
      </c>
      <c r="B60" s="34">
        <v>6770.2</v>
      </c>
      <c r="C60" s="35">
        <f>10268.5-1414.6</f>
        <v>8853.9</v>
      </c>
      <c r="D60" s="36">
        <f>80.6+106+88.7+4.1+0.3+50.7+49.2+44+180.6+100.8+125+0.6+0.8+205.4-0.2+30.8+60.6+59.8+0.5+2.3+86.2+133.9+48.6-0.1+49.5+49.3+61.5+235.8+7.3+105+495.2+130.9+134.1+450.8+421.5+647.3</f>
        <v>4247.4</v>
      </c>
      <c r="E60" s="3">
        <f>D60/D156*100</f>
        <v>0.3444958687389732</v>
      </c>
      <c r="F60" s="3">
        <f>D60/B60*100</f>
        <v>62.73669906354316</v>
      </c>
      <c r="G60" s="3">
        <f t="shared" si="5"/>
        <v>47.97208010029478</v>
      </c>
      <c r="H60" s="36">
        <f>B60-D60</f>
        <v>2522.8</v>
      </c>
      <c r="I60" s="36">
        <f t="shared" si="6"/>
        <v>4606.5</v>
      </c>
      <c r="J60" s="135"/>
    </row>
    <row r="61" spans="1:9" s="135" customFormat="1" ht="18">
      <c r="A61" s="89" t="s">
        <v>3</v>
      </c>
      <c r="B61" s="108">
        <v>2170</v>
      </c>
      <c r="C61" s="109">
        <v>3626.9</v>
      </c>
      <c r="D61" s="91">
        <f>80.6+106+88.7+4.1+50.7+38.1+180.6+95.6+203.1+54.2+59.8+86.2+109.7+0.1+49.5+34.4+208.9+102+130.9+94.1</f>
        <v>1777.3000000000002</v>
      </c>
      <c r="E61" s="93">
        <f>D61/D60*100</f>
        <v>41.84442247021708</v>
      </c>
      <c r="F61" s="93">
        <f t="shared" si="7"/>
        <v>81.90322580645162</v>
      </c>
      <c r="G61" s="93">
        <f t="shared" si="5"/>
        <v>49.00328103890375</v>
      </c>
      <c r="H61" s="91">
        <f t="shared" si="8"/>
        <v>392.6999999999998</v>
      </c>
      <c r="I61" s="91">
        <f t="shared" si="6"/>
        <v>1849.6</v>
      </c>
    </row>
    <row r="62" spans="1:9" s="135" customFormat="1" ht="18">
      <c r="A62" s="89" t="s">
        <v>1</v>
      </c>
      <c r="B62" s="108">
        <v>420</v>
      </c>
      <c r="C62" s="109">
        <v>420</v>
      </c>
      <c r="D62" s="91">
        <v>351.5</v>
      </c>
      <c r="E62" s="93">
        <f>D62/D60*100</f>
        <v>8.275650986485852</v>
      </c>
      <c r="F62" s="93">
        <f>D62/B62*100</f>
        <v>83.69047619047619</v>
      </c>
      <c r="G62" s="93">
        <f t="shared" si="5"/>
        <v>83.69047619047619</v>
      </c>
      <c r="H62" s="91">
        <f t="shared" si="8"/>
        <v>68.5</v>
      </c>
      <c r="I62" s="91">
        <f t="shared" si="6"/>
        <v>68.5</v>
      </c>
    </row>
    <row r="63" spans="1:9" s="135" customFormat="1" ht="18">
      <c r="A63" s="89" t="s">
        <v>0</v>
      </c>
      <c r="B63" s="108">
        <v>319.8</v>
      </c>
      <c r="C63" s="109">
        <v>475.3</v>
      </c>
      <c r="D63" s="91">
        <f>9.6+44+118.7+0.1+30.8+0.2+16.8+0.1+13.9+3.1+7+0.8</f>
        <v>245.10000000000002</v>
      </c>
      <c r="E63" s="93">
        <f>D63/D60*100</f>
        <v>5.770589066252296</v>
      </c>
      <c r="F63" s="93">
        <f t="shared" si="7"/>
        <v>76.64165103189494</v>
      </c>
      <c r="G63" s="93">
        <f t="shared" si="5"/>
        <v>51.567431096149804</v>
      </c>
      <c r="H63" s="91">
        <f t="shared" si="8"/>
        <v>74.69999999999999</v>
      </c>
      <c r="I63" s="91">
        <f t="shared" si="6"/>
        <v>230.2</v>
      </c>
    </row>
    <row r="64" spans="1:9" s="135" customFormat="1" ht="18">
      <c r="A64" s="89" t="s">
        <v>12</v>
      </c>
      <c r="B64" s="108">
        <v>3281.2</v>
      </c>
      <c r="C64" s="109">
        <f>4848.7-1414.6</f>
        <v>3434.1</v>
      </c>
      <c r="D64" s="91">
        <f>494.9+450.8+494.9</f>
        <v>1440.6</v>
      </c>
      <c r="E64" s="93">
        <f>D64/D60*100</f>
        <v>33.9172199463201</v>
      </c>
      <c r="F64" s="93">
        <f t="shared" si="7"/>
        <v>43.90466902352797</v>
      </c>
      <c r="G64" s="93">
        <f t="shared" si="5"/>
        <v>41.94985585742989</v>
      </c>
      <c r="H64" s="91">
        <f t="shared" si="8"/>
        <v>1840.6</v>
      </c>
      <c r="I64" s="91">
        <f t="shared" si="6"/>
        <v>1993.5</v>
      </c>
    </row>
    <row r="65" spans="1:9" s="135" customFormat="1" ht="18.75" thickBot="1">
      <c r="A65" s="89" t="s">
        <v>25</v>
      </c>
      <c r="B65" s="109">
        <f>B60-B61-B63-B64-B62</f>
        <v>579.1999999999998</v>
      </c>
      <c r="C65" s="109">
        <f>C60-C61-C63-C64-C62</f>
        <v>897.5999999999999</v>
      </c>
      <c r="D65" s="109">
        <f>D60-D61-D63-D64-D62</f>
        <v>432.89999999999964</v>
      </c>
      <c r="E65" s="93">
        <f>D65/D60*100</f>
        <v>10.192117530724671</v>
      </c>
      <c r="F65" s="93">
        <f t="shared" si="7"/>
        <v>74.74102209944748</v>
      </c>
      <c r="G65" s="93">
        <f t="shared" si="5"/>
        <v>48.22860962566841</v>
      </c>
      <c r="H65" s="91">
        <f t="shared" si="8"/>
        <v>146.30000000000018</v>
      </c>
      <c r="I65" s="91">
        <f t="shared" si="6"/>
        <v>464.7000000000003</v>
      </c>
    </row>
    <row r="66" spans="1:10" s="29" customFormat="1" ht="19.5" hidden="1" thickBot="1">
      <c r="A66" s="69" t="s">
        <v>74</v>
      </c>
      <c r="B66" s="67"/>
      <c r="C66" s="67"/>
      <c r="D66" s="67"/>
      <c r="E66" s="68"/>
      <c r="F66" s="68" t="e">
        <f>D66/B66*100</f>
        <v>#DIV/0!</v>
      </c>
      <c r="G66" s="68" t="e">
        <f>D66/C66*100</f>
        <v>#DIV/0!</v>
      </c>
      <c r="H66" s="72">
        <f t="shared" si="8"/>
        <v>0</v>
      </c>
      <c r="I66" s="72">
        <f t="shared" si="6"/>
        <v>0</v>
      </c>
      <c r="J66" s="84"/>
    </row>
    <row r="67" spans="1:10" s="29" customFormat="1" ht="19.5" hidden="1" thickBot="1">
      <c r="A67" s="69" t="s">
        <v>60</v>
      </c>
      <c r="B67" s="67"/>
      <c r="C67" s="67"/>
      <c r="D67" s="67"/>
      <c r="E67" s="68"/>
      <c r="F67" s="68" t="e">
        <f t="shared" si="7"/>
        <v>#DIV/0!</v>
      </c>
      <c r="G67" s="68" t="e">
        <f t="shared" si="5"/>
        <v>#DIV/0!</v>
      </c>
      <c r="H67" s="72">
        <f t="shared" si="8"/>
        <v>0</v>
      </c>
      <c r="I67" s="72">
        <f t="shared" si="6"/>
        <v>0</v>
      </c>
      <c r="J67" s="84"/>
    </row>
    <row r="68" spans="1:10" s="29" customFormat="1" ht="19.5" hidden="1" thickBot="1">
      <c r="A68" s="69" t="s">
        <v>61</v>
      </c>
      <c r="B68" s="67"/>
      <c r="C68" s="67"/>
      <c r="D68" s="67"/>
      <c r="E68" s="68"/>
      <c r="F68" s="68" t="e">
        <f t="shared" si="7"/>
        <v>#DIV/0!</v>
      </c>
      <c r="G68" s="68" t="e">
        <f t="shared" si="5"/>
        <v>#DIV/0!</v>
      </c>
      <c r="H68" s="72">
        <f t="shared" si="8"/>
        <v>0</v>
      </c>
      <c r="I68" s="72">
        <f t="shared" si="6"/>
        <v>0</v>
      </c>
      <c r="J68" s="84"/>
    </row>
    <row r="69" spans="1:10" s="29" customFormat="1" ht="19.5" hidden="1" thickBot="1">
      <c r="A69" s="69" t="s">
        <v>62</v>
      </c>
      <c r="B69" s="67"/>
      <c r="C69" s="67"/>
      <c r="D69" s="67"/>
      <c r="E69" s="68"/>
      <c r="F69" s="68" t="e">
        <f t="shared" si="7"/>
        <v>#DIV/0!</v>
      </c>
      <c r="G69" s="68" t="e">
        <f t="shared" si="5"/>
        <v>#DIV/0!</v>
      </c>
      <c r="H69" s="72">
        <f t="shared" si="8"/>
        <v>0</v>
      </c>
      <c r="I69" s="72">
        <f t="shared" si="6"/>
        <v>0</v>
      </c>
      <c r="J69" s="84"/>
    </row>
    <row r="70" spans="1:10" ht="18.75" thickBot="1">
      <c r="A70" s="18" t="s">
        <v>18</v>
      </c>
      <c r="B70" s="35">
        <f>B71+B72</f>
        <v>289.5</v>
      </c>
      <c r="C70" s="35">
        <f>C71+C72</f>
        <v>408.6</v>
      </c>
      <c r="D70" s="36">
        <f>D71+D72</f>
        <v>248.4</v>
      </c>
      <c r="E70" s="27">
        <f>D70/D156*100</f>
        <v>0.02014709558665559</v>
      </c>
      <c r="F70" s="3">
        <f>D70/B70*100</f>
        <v>85.80310880829016</v>
      </c>
      <c r="G70" s="3">
        <f t="shared" si="5"/>
        <v>60.792951541850215</v>
      </c>
      <c r="H70" s="36">
        <f>B70-D70</f>
        <v>41.099999999999994</v>
      </c>
      <c r="I70" s="36">
        <f t="shared" si="6"/>
        <v>160.20000000000002</v>
      </c>
      <c r="J70" s="135"/>
    </row>
    <row r="71" spans="1:9" s="135" customFormat="1" ht="18">
      <c r="A71" s="89" t="s">
        <v>106</v>
      </c>
      <c r="B71" s="108">
        <v>217.3</v>
      </c>
      <c r="C71" s="109">
        <v>217.3</v>
      </c>
      <c r="D71" s="91">
        <f>50+117.3+50</f>
        <v>217.3</v>
      </c>
      <c r="E71" s="93">
        <f>D71/D70*100</f>
        <v>87.47987117552334</v>
      </c>
      <c r="F71" s="93">
        <f t="shared" si="7"/>
        <v>100</v>
      </c>
      <c r="G71" s="93">
        <f t="shared" si="5"/>
        <v>100</v>
      </c>
      <c r="H71" s="91">
        <f t="shared" si="8"/>
        <v>0</v>
      </c>
      <c r="I71" s="91">
        <f t="shared" si="6"/>
        <v>0</v>
      </c>
    </row>
    <row r="72" spans="1:9" s="135" customFormat="1" ht="21" customHeight="1">
      <c r="A72" s="148" t="s">
        <v>107</v>
      </c>
      <c r="B72" s="108">
        <f>93.2-21</f>
        <v>72.2</v>
      </c>
      <c r="C72" s="109">
        <f>396.5-65.8-22.7-7.6-44.6-43.5-21</f>
        <v>191.29999999999998</v>
      </c>
      <c r="D72" s="91">
        <f>0.6+6.4+23.4+0.7</f>
        <v>31.099999999999998</v>
      </c>
      <c r="E72" s="93">
        <f>D72/D71*100</f>
        <v>14.312011044638748</v>
      </c>
      <c r="F72" s="93">
        <f t="shared" si="7"/>
        <v>43.074792243767305</v>
      </c>
      <c r="G72" s="93">
        <f t="shared" si="5"/>
        <v>16.257187663355985</v>
      </c>
      <c r="H72" s="91">
        <f t="shared" si="8"/>
        <v>41.10000000000001</v>
      </c>
      <c r="I72" s="91">
        <f t="shared" si="6"/>
        <v>160.2</v>
      </c>
    </row>
    <row r="73" spans="1:9" s="135" customFormat="1" ht="18.75" thickBot="1">
      <c r="A73" s="89" t="s">
        <v>46</v>
      </c>
      <c r="B73" s="108">
        <f>23.4+0.7</f>
        <v>24.099999999999998</v>
      </c>
      <c r="C73" s="109">
        <f>23.4+0.7</f>
        <v>24.099999999999998</v>
      </c>
      <c r="D73" s="109">
        <f>23.4+0.7</f>
        <v>24.099999999999998</v>
      </c>
      <c r="E73" s="93">
        <f>D73/D72*100</f>
        <v>77.491961414791</v>
      </c>
      <c r="F73" s="93">
        <f>D73/B73*100</f>
        <v>100</v>
      </c>
      <c r="G73" s="93">
        <f>D73/C73*100</f>
        <v>100</v>
      </c>
      <c r="H73" s="91">
        <f>B73-D73</f>
        <v>0</v>
      </c>
      <c r="I73" s="91">
        <f>C73-D73</f>
        <v>0</v>
      </c>
    </row>
    <row r="74" spans="1:10" ht="38.25" hidden="1" thickBot="1">
      <c r="A74" s="11" t="s">
        <v>39</v>
      </c>
      <c r="B74" s="41"/>
      <c r="C74" s="35">
        <f>C75+C76+C77+C78</f>
        <v>0</v>
      </c>
      <c r="D74" s="35">
        <f>D75+D76+D77+D78</f>
        <v>0</v>
      </c>
      <c r="E74" s="3">
        <f>D74/D156*100</f>
        <v>0</v>
      </c>
      <c r="F74" s="3" t="e">
        <f>D74/B74*100</f>
        <v>#DIV/0!</v>
      </c>
      <c r="G74" s="3" t="e">
        <f t="shared" si="5"/>
        <v>#DIV/0!</v>
      </c>
      <c r="H74" s="36">
        <f>B74-D74</f>
        <v>0</v>
      </c>
      <c r="I74" s="36">
        <f t="shared" si="6"/>
        <v>0</v>
      </c>
      <c r="J74" s="135"/>
    </row>
    <row r="75" spans="1:10" ht="18.75" hidden="1">
      <c r="A75" s="15" t="s">
        <v>43</v>
      </c>
      <c r="B75" s="39"/>
      <c r="C75" s="45"/>
      <c r="D75" s="37"/>
      <c r="E75" s="24" t="e">
        <f>D75/D74*100</f>
        <v>#DIV/0!</v>
      </c>
      <c r="F75" s="1" t="e">
        <f t="shared" si="7"/>
        <v>#DIV/0!</v>
      </c>
      <c r="G75" s="1" t="e">
        <f t="shared" si="5"/>
        <v>#DIV/0!</v>
      </c>
      <c r="H75" s="33">
        <f t="shared" si="8"/>
        <v>0</v>
      </c>
      <c r="I75" s="33">
        <f t="shared" si="6"/>
        <v>0</v>
      </c>
      <c r="J75" s="135"/>
    </row>
    <row r="76" spans="1:10" ht="18.75" hidden="1">
      <c r="A76" s="15" t="s">
        <v>44</v>
      </c>
      <c r="B76" s="39"/>
      <c r="C76" s="45"/>
      <c r="D76" s="37"/>
      <c r="E76" s="24" t="e">
        <f>D76/D74*100</f>
        <v>#DIV/0!</v>
      </c>
      <c r="F76" s="1" t="e">
        <f t="shared" si="7"/>
        <v>#DIV/0!</v>
      </c>
      <c r="G76" s="1" t="e">
        <f t="shared" si="5"/>
        <v>#DIV/0!</v>
      </c>
      <c r="H76" s="33">
        <f t="shared" si="8"/>
        <v>0</v>
      </c>
      <c r="I76" s="33">
        <f t="shared" si="6"/>
        <v>0</v>
      </c>
      <c r="J76" s="135"/>
    </row>
    <row r="77" spans="1:10" ht="18.75" hidden="1">
      <c r="A77" s="20" t="s">
        <v>32</v>
      </c>
      <c r="B77" s="46"/>
      <c r="C77" s="47"/>
      <c r="D77" s="48"/>
      <c r="E77" s="24" t="e">
        <f>D77/D74*100</f>
        <v>#DIV/0!</v>
      </c>
      <c r="F77" s="24"/>
      <c r="G77" s="1" t="e">
        <f t="shared" si="5"/>
        <v>#DIV/0!</v>
      </c>
      <c r="H77" s="33"/>
      <c r="I77" s="33">
        <f t="shared" si="6"/>
        <v>0</v>
      </c>
      <c r="J77" s="135"/>
    </row>
    <row r="78" spans="1:10" ht="19.5" hidden="1" thickBot="1">
      <c r="A78" s="20" t="s">
        <v>40</v>
      </c>
      <c r="B78" s="46"/>
      <c r="C78" s="47"/>
      <c r="D78" s="48"/>
      <c r="E78" s="24" t="e">
        <f>D78/D74*100</f>
        <v>#DIV/0!</v>
      </c>
      <c r="F78" s="24"/>
      <c r="G78" s="1" t="e">
        <f t="shared" si="5"/>
        <v>#DIV/0!</v>
      </c>
      <c r="H78" s="33"/>
      <c r="I78" s="33">
        <f t="shared" si="6"/>
        <v>0</v>
      </c>
      <c r="J78" s="135"/>
    </row>
    <row r="79" spans="1:10" s="29" customFormat="1" ht="19.5" thickBot="1">
      <c r="A79" s="21" t="s">
        <v>11</v>
      </c>
      <c r="B79" s="42">
        <v>80</v>
      </c>
      <c r="C79" s="49">
        <f>10000-9900</f>
        <v>100</v>
      </c>
      <c r="D79" s="50"/>
      <c r="E79" s="30"/>
      <c r="F79" s="30"/>
      <c r="G79" s="30"/>
      <c r="H79" s="50">
        <f>B79-D79</f>
        <v>80</v>
      </c>
      <c r="I79" s="50">
        <f t="shared" si="6"/>
        <v>100</v>
      </c>
      <c r="J79" s="84"/>
    </row>
    <row r="80" spans="1:10" ht="8.25" customHeight="1" thickBot="1">
      <c r="A80" s="15"/>
      <c r="B80" s="39"/>
      <c r="C80" s="47"/>
      <c r="D80" s="48"/>
      <c r="E80" s="6"/>
      <c r="F80" s="6"/>
      <c r="G80" s="6"/>
      <c r="H80" s="48"/>
      <c r="I80" s="137"/>
      <c r="J80" s="135"/>
    </row>
    <row r="81" spans="1:10" ht="18.75" customHeight="1" hidden="1" thickBot="1">
      <c r="A81" s="11" t="s">
        <v>54</v>
      </c>
      <c r="B81" s="41"/>
      <c r="C81" s="35"/>
      <c r="D81" s="35"/>
      <c r="E81" s="3">
        <f>D81/D156*100</f>
        <v>0</v>
      </c>
      <c r="F81" s="3" t="e">
        <f>D81/B81*100</f>
        <v>#DIV/0!</v>
      </c>
      <c r="G81" s="3" t="e">
        <f aca="true" t="shared" si="9" ref="G81:G95">D81/C81*100</f>
        <v>#DIV/0!</v>
      </c>
      <c r="H81" s="36">
        <f>B81-D81</f>
        <v>0</v>
      </c>
      <c r="I81" s="36">
        <f aca="true" t="shared" si="10" ref="I81:I95">C81-D81</f>
        <v>0</v>
      </c>
      <c r="J81" s="135"/>
    </row>
    <row r="82" spans="1:10" s="8" customFormat="1" ht="18.75" hidden="1" thickBot="1">
      <c r="A82" s="9" t="s">
        <v>53</v>
      </c>
      <c r="B82" s="51"/>
      <c r="C82" s="32"/>
      <c r="D82" s="33"/>
      <c r="E82" s="66"/>
      <c r="F82" s="1" t="e">
        <f>D82/B82*100</f>
        <v>#DIV/0!</v>
      </c>
      <c r="G82" s="1" t="e">
        <f t="shared" si="9"/>
        <v>#DIV/0!</v>
      </c>
      <c r="H82" s="33">
        <f>B82-D82</f>
        <v>0</v>
      </c>
      <c r="I82" s="33">
        <f t="shared" si="10"/>
        <v>0</v>
      </c>
      <c r="J82" s="134"/>
    </row>
    <row r="83" spans="1:10" s="8" customFormat="1" ht="31.5" hidden="1" thickBot="1">
      <c r="A83" s="9" t="s">
        <v>51</v>
      </c>
      <c r="B83" s="51"/>
      <c r="C83" s="32"/>
      <c r="D83" s="33"/>
      <c r="E83" s="66"/>
      <c r="F83" s="1" t="e">
        <f>D83/B83*100</f>
        <v>#DIV/0!</v>
      </c>
      <c r="G83" s="1" t="e">
        <f t="shared" si="9"/>
        <v>#DIV/0!</v>
      </c>
      <c r="H83" s="33">
        <f>B83-D83</f>
        <v>0</v>
      </c>
      <c r="I83" s="33">
        <f t="shared" si="10"/>
        <v>0</v>
      </c>
      <c r="J83" s="134"/>
    </row>
    <row r="84" spans="1:10" s="8" customFormat="1" ht="16.5" customHeight="1" hidden="1">
      <c r="A84" s="9" t="s">
        <v>31</v>
      </c>
      <c r="B84" s="51"/>
      <c r="C84" s="32"/>
      <c r="D84" s="33"/>
      <c r="E84" s="1" t="e">
        <f>D84/D81*100</f>
        <v>#DIV/0!</v>
      </c>
      <c r="F84" s="1"/>
      <c r="G84" s="1" t="e">
        <f t="shared" si="9"/>
        <v>#DIV/0!</v>
      </c>
      <c r="H84" s="33"/>
      <c r="I84" s="33">
        <f t="shared" si="10"/>
        <v>0</v>
      </c>
      <c r="J84" s="134"/>
    </row>
    <row r="85" spans="1:10" s="8" customFormat="1" ht="33" customHeight="1" hidden="1" thickBot="1">
      <c r="A85" s="9" t="s">
        <v>37</v>
      </c>
      <c r="B85" s="51"/>
      <c r="C85" s="32"/>
      <c r="D85" s="32"/>
      <c r="E85" s="1" t="e">
        <f>D85/D81*100</f>
        <v>#DIV/0!</v>
      </c>
      <c r="F85" s="1"/>
      <c r="G85" s="1" t="e">
        <f t="shared" si="9"/>
        <v>#DIV/0!</v>
      </c>
      <c r="H85" s="33"/>
      <c r="I85" s="33">
        <f t="shared" si="10"/>
        <v>0</v>
      </c>
      <c r="J85" s="134"/>
    </row>
    <row r="86" spans="1:10" ht="35.25" customHeight="1" hidden="1" thickBot="1">
      <c r="A86" s="11" t="s">
        <v>33</v>
      </c>
      <c r="B86" s="41"/>
      <c r="C86" s="35"/>
      <c r="D86" s="35"/>
      <c r="E86" s="3">
        <f>D86/D156*100</f>
        <v>0</v>
      </c>
      <c r="F86" s="3"/>
      <c r="G86" s="3" t="e">
        <f t="shared" si="9"/>
        <v>#DIV/0!</v>
      </c>
      <c r="H86" s="36"/>
      <c r="I86" s="36">
        <f t="shared" si="10"/>
        <v>0</v>
      </c>
      <c r="J86" s="135"/>
    </row>
    <row r="87" spans="1:10" ht="16.5" customHeight="1" hidden="1">
      <c r="A87" s="19" t="s">
        <v>21</v>
      </c>
      <c r="B87" s="31"/>
      <c r="C87" s="47"/>
      <c r="D87" s="47"/>
      <c r="E87" s="6" t="e">
        <f>D87/D86*100</f>
        <v>#DIV/0!</v>
      </c>
      <c r="F87" s="6"/>
      <c r="G87" s="6" t="e">
        <f t="shared" si="9"/>
        <v>#DIV/0!</v>
      </c>
      <c r="H87" s="48"/>
      <c r="I87" s="33">
        <f t="shared" si="10"/>
        <v>0</v>
      </c>
      <c r="J87" s="135"/>
    </row>
    <row r="88" spans="1:10" ht="16.5" customHeight="1" hidden="1" thickBot="1">
      <c r="A88" s="19" t="s">
        <v>22</v>
      </c>
      <c r="B88" s="31"/>
      <c r="C88" s="47"/>
      <c r="D88" s="47"/>
      <c r="E88" s="6" t="e">
        <f>D88/D86*100</f>
        <v>#DIV/0!</v>
      </c>
      <c r="F88" s="6"/>
      <c r="G88" s="6" t="e">
        <f t="shared" si="9"/>
        <v>#DIV/0!</v>
      </c>
      <c r="H88" s="48"/>
      <c r="I88" s="33">
        <f t="shared" si="10"/>
        <v>0</v>
      </c>
      <c r="J88" s="135"/>
    </row>
    <row r="89" spans="1:10" ht="34.5" customHeight="1" hidden="1" thickBot="1">
      <c r="A89" s="11" t="s">
        <v>34</v>
      </c>
      <c r="B89" s="41"/>
      <c r="C89" s="35"/>
      <c r="D89" s="35"/>
      <c r="E89" s="3">
        <f>D89/D156*100</f>
        <v>0</v>
      </c>
      <c r="F89" s="3"/>
      <c r="G89" s="3" t="e">
        <f t="shared" si="9"/>
        <v>#DIV/0!</v>
      </c>
      <c r="H89" s="36"/>
      <c r="I89" s="36">
        <f t="shared" si="10"/>
        <v>0</v>
      </c>
      <c r="J89" s="135"/>
    </row>
    <row r="90" spans="1:10" ht="17.25" customHeight="1" hidden="1">
      <c r="A90" s="19" t="s">
        <v>21</v>
      </c>
      <c r="B90" s="31"/>
      <c r="C90" s="32"/>
      <c r="D90" s="33"/>
      <c r="E90" s="1" t="e">
        <f>D90/D89*100</f>
        <v>#DIV/0!</v>
      </c>
      <c r="F90" s="1"/>
      <c r="G90" s="1" t="e">
        <f t="shared" si="9"/>
        <v>#DIV/0!</v>
      </c>
      <c r="H90" s="33"/>
      <c r="I90" s="33">
        <f t="shared" si="10"/>
        <v>0</v>
      </c>
      <c r="J90" s="135"/>
    </row>
    <row r="91" spans="1:10" ht="17.25" customHeight="1" hidden="1" thickBot="1">
      <c r="A91" s="19" t="s">
        <v>22</v>
      </c>
      <c r="B91" s="31"/>
      <c r="C91" s="32"/>
      <c r="D91" s="33"/>
      <c r="E91" s="1" t="e">
        <f>D91/D89*100</f>
        <v>#DIV/0!</v>
      </c>
      <c r="F91" s="1"/>
      <c r="G91" s="1" t="e">
        <f t="shared" si="9"/>
        <v>#DIV/0!</v>
      </c>
      <c r="H91" s="33"/>
      <c r="I91" s="33">
        <f t="shared" si="10"/>
        <v>0</v>
      </c>
      <c r="J91" s="135"/>
    </row>
    <row r="92" spans="1:10" ht="19.5" thickBot="1">
      <c r="A92" s="11" t="s">
        <v>8</v>
      </c>
      <c r="B92" s="41">
        <f>130983.9+568</f>
        <v>131551.9</v>
      </c>
      <c r="C92" s="35">
        <f>208452.8+200+77.9-200+1000.1+7691.5</f>
        <v>217222.3</v>
      </c>
      <c r="D92" s="36">
        <f>244+43.9+2457.4+2707.4+10.4+33.4+0.3+26.7+297+18.1+13+3+6.2+490.1+6379.1-0.1+2560.6+73.2+32.7+207.4+162.1+3.7+587.9+1178+3844.7+1728.3+5.1+21.1+0.3+34.4+45+4.2+963+7087.2+2475+12.1+0.2+203.9+119.8+249.5+28.2+94.6+1641.4+3683.9+1284.9+43.8+45.6+7+132+69+12.9+1131.2+2053.4+6027.2+894.6+407+308.2+42.8+26.9+55.8+18.9+32+2098.5+2975.4+1838.9+53.3+22.9+6.8+6.4+20.7+958.9+962.6+6238.3+2315.7+443.9+95.4+331.1+76.6+36.9+49.5+1454.8+2354.1+2278.3+13.1+160.2+26.9+516.5+1+19.8+67.4+14.6+1355.2+3917.1+4971.5+7.7+247+44.8+413.5+53.4+25.7+139.9+2325.9+1224.6+3612.7+7.2+24.9+479.2+19.1+1.8+1175.5+45.4+8006.2+816.9+556.7+252.7+47.1</f>
        <v>107580.79999999999</v>
      </c>
      <c r="E92" s="3">
        <f>D92/D156*100</f>
        <v>8.725606525317541</v>
      </c>
      <c r="F92" s="3">
        <f aca="true" t="shared" si="11" ref="F92:F98">D92/B92*100</f>
        <v>81.77821833056002</v>
      </c>
      <c r="G92" s="3">
        <f t="shared" si="9"/>
        <v>49.52567024656308</v>
      </c>
      <c r="H92" s="36">
        <f aca="true" t="shared" si="12" ref="H92:H98">B92-D92</f>
        <v>23971.100000000006</v>
      </c>
      <c r="I92" s="36">
        <f t="shared" si="10"/>
        <v>109641.5</v>
      </c>
      <c r="J92" s="135"/>
    </row>
    <row r="93" spans="1:9" s="135" customFormat="1" ht="21.75" customHeight="1">
      <c r="A93" s="89" t="s">
        <v>3</v>
      </c>
      <c r="B93" s="108">
        <f>123450.1+477.4</f>
        <v>123927.5</v>
      </c>
      <c r="C93" s="109">
        <f>195523.2+200-200+936</f>
        <v>196459.2</v>
      </c>
      <c r="D93" s="91">
        <f>244+2447.7+2707.4+7.9+32.8+292+16+4.4+487.2+6367.9-0.1+2554.5+39.8+0.3+122+1.4+575.3+1176+3828+1657.6+10+5.7+877.3+7018.3+1997.5+99.9+196.5+40.7+134.2+1.1+1320.5+3625.9+1272.5-0.3+130.1+0.9+1054+1991.7+5764.4+865.1+404.9+294.9+22.6+39.9+14.8+1918.5+2969.6+1796.3+33.2+806+952+6219.1+2233.7+443.9+70.3+10.4+66.6-0.2+1293+2348.9+2098.9+101.7+0.4+516+10.8+1290.2+3880.2+4953.9+244.9+22.5+122+32.5+2213.2+1219+3586+9.1+360+1161.2+7970.4+385.2+462.1+247.2</f>
        <v>101793.89999999995</v>
      </c>
      <c r="E93" s="93">
        <f>D93/D92*100</f>
        <v>94.62088030577944</v>
      </c>
      <c r="F93" s="93">
        <f t="shared" si="11"/>
        <v>82.13988017187465</v>
      </c>
      <c r="G93" s="93">
        <f t="shared" si="9"/>
        <v>51.81426983312563</v>
      </c>
      <c r="H93" s="91">
        <f t="shared" si="12"/>
        <v>22133.60000000005</v>
      </c>
      <c r="I93" s="91">
        <f t="shared" si="10"/>
        <v>94665.30000000006</v>
      </c>
    </row>
    <row r="94" spans="1:9" s="135" customFormat="1" ht="18">
      <c r="A94" s="89" t="s">
        <v>23</v>
      </c>
      <c r="B94" s="108">
        <v>1382.2</v>
      </c>
      <c r="C94" s="109">
        <v>2704.7</v>
      </c>
      <c r="D94" s="91">
        <f>10+5.9+981.6+112.5+3.5+4.3+3+9.2+59.4+52.3+6.5+0.9+71.3+23</f>
        <v>1343.4</v>
      </c>
      <c r="E94" s="93">
        <f>D94/D92*100</f>
        <v>1.2487358339034476</v>
      </c>
      <c r="F94" s="93">
        <f t="shared" si="11"/>
        <v>97.19288091448416</v>
      </c>
      <c r="G94" s="93">
        <f t="shared" si="9"/>
        <v>49.669094539135585</v>
      </c>
      <c r="H94" s="91">
        <f t="shared" si="12"/>
        <v>38.799999999999955</v>
      </c>
      <c r="I94" s="91">
        <f t="shared" si="10"/>
        <v>1361.2999999999997</v>
      </c>
    </row>
    <row r="95" spans="1:9" s="135" customFormat="1" ht="18" hidden="1">
      <c r="A95" s="89" t="s">
        <v>12</v>
      </c>
      <c r="B95" s="108"/>
      <c r="C95" s="109"/>
      <c r="D95" s="109"/>
      <c r="E95" s="110">
        <f>D95/D92*100</f>
        <v>0</v>
      </c>
      <c r="F95" s="93"/>
      <c r="G95" s="93" t="e">
        <f t="shared" si="9"/>
        <v>#DIV/0!</v>
      </c>
      <c r="H95" s="91">
        <f t="shared" si="12"/>
        <v>0</v>
      </c>
      <c r="I95" s="91">
        <f t="shared" si="10"/>
        <v>0</v>
      </c>
    </row>
    <row r="96" spans="1:9" s="135" customFormat="1" ht="18.75" thickBot="1">
      <c r="A96" s="89" t="s">
        <v>25</v>
      </c>
      <c r="B96" s="109">
        <f>B92-B93-B94-B95</f>
        <v>6242.199999999994</v>
      </c>
      <c r="C96" s="109">
        <f>C92-C93-C94-C95</f>
        <v>18058.399999999976</v>
      </c>
      <c r="D96" s="109">
        <f>D92-D93-D94-D95</f>
        <v>4443.500000000038</v>
      </c>
      <c r="E96" s="93">
        <f>D96/D92*100</f>
        <v>4.130383860317118</v>
      </c>
      <c r="F96" s="93">
        <f t="shared" si="11"/>
        <v>71.18483867867165</v>
      </c>
      <c r="G96" s="93">
        <f>D96/C96*100</f>
        <v>24.606277411066564</v>
      </c>
      <c r="H96" s="91">
        <f t="shared" si="12"/>
        <v>1798.6999999999562</v>
      </c>
      <c r="I96" s="91">
        <f>C96-D96</f>
        <v>13614.899999999938</v>
      </c>
    </row>
    <row r="97" spans="1:10" ht="18.75">
      <c r="A97" s="75" t="s">
        <v>10</v>
      </c>
      <c r="B97" s="83">
        <f>60184-243</f>
        <v>59941</v>
      </c>
      <c r="C97" s="78">
        <f>83543+41100+1904.1+3500+20+3672-160</f>
        <v>133579.1</v>
      </c>
      <c r="D97" s="77">
        <f>550.6+16+384.3+525.5+369.8+2.6+13.2+66.6+29.8+815.4+66.6+46.7+1198.1+490.3+154+72.1+121.6+525.1+495.6+452.5+67.7+766.7+27.8+2611.4+110.1+3.8+3.3+441.8+656.5+3.5+157.9+215.4+10546.5+1149.5+25.1+98.2+543.6+176.7+29.8+75.6+1142.3+18.4+2564.5+1033.7+299+788.3+504+976.5+145.6+720.1+36.3+55.7+1776.3+7.4+3+1416.6+988.8+825.3+2164.2+954.8+1228.8+864.1+150.9+537.9+202.2+1664.5-161+3.2+83.7+1947.1+120.8+2138.3</f>
        <v>49308.6</v>
      </c>
      <c r="E97" s="74">
        <f>D97/D156*100</f>
        <v>3.999295802915321</v>
      </c>
      <c r="F97" s="76">
        <f t="shared" si="11"/>
        <v>82.26189085934502</v>
      </c>
      <c r="G97" s="73">
        <f>D97/C97*100</f>
        <v>36.9134093582005</v>
      </c>
      <c r="H97" s="77">
        <f t="shared" si="12"/>
        <v>10632.400000000001</v>
      </c>
      <c r="I97" s="79">
        <f>C97-D97</f>
        <v>84270.5</v>
      </c>
      <c r="J97" s="135"/>
    </row>
    <row r="98" spans="1:9" s="135" customFormat="1" ht="18.75" thickBot="1">
      <c r="A98" s="111" t="s">
        <v>81</v>
      </c>
      <c r="B98" s="112">
        <v>9296.6</v>
      </c>
      <c r="C98" s="113">
        <v>16376.6</v>
      </c>
      <c r="D98" s="114">
        <f>101+2.6+598.7+1.6+2603.8+3.8+0.7+1149.5+2.1+129.3+1033.7+0.3+164.7+461.5+907.4+167.5+105.4+83.7+677.1+35.3</f>
        <v>8229.699999999999</v>
      </c>
      <c r="E98" s="115">
        <f>D98/D97*100</f>
        <v>16.690191974625115</v>
      </c>
      <c r="F98" s="116">
        <f t="shared" si="11"/>
        <v>88.52376137512637</v>
      </c>
      <c r="G98" s="117">
        <f>D98/C98*100</f>
        <v>50.25279972643894</v>
      </c>
      <c r="H98" s="118">
        <f t="shared" si="12"/>
        <v>1066.9000000000015</v>
      </c>
      <c r="I98" s="107">
        <f>C98-D98</f>
        <v>8146.9000000000015</v>
      </c>
    </row>
    <row r="99" spans="1:10" ht="8.25" customHeight="1" thickBot="1">
      <c r="A99" s="15"/>
      <c r="B99" s="39"/>
      <c r="C99" s="47"/>
      <c r="D99" s="48"/>
      <c r="E99" s="6"/>
      <c r="F99" s="6"/>
      <c r="G99" s="6"/>
      <c r="H99" s="48"/>
      <c r="I99" s="48"/>
      <c r="J99" s="135"/>
    </row>
    <row r="100" spans="1:10" ht="19.5" hidden="1" thickBot="1">
      <c r="A100" s="23" t="s">
        <v>35</v>
      </c>
      <c r="B100" s="55"/>
      <c r="C100" s="56"/>
      <c r="D100" s="57"/>
      <c r="E100" s="3">
        <f>D100/D156*100</f>
        <v>0</v>
      </c>
      <c r="F100" s="3"/>
      <c r="G100" s="3" t="e">
        <f>D100/C100*100</f>
        <v>#DIV/0!</v>
      </c>
      <c r="H100" s="36"/>
      <c r="I100" s="36">
        <f>C100-D100</f>
        <v>0</v>
      </c>
      <c r="J100" s="135"/>
    </row>
    <row r="101" spans="1:10" ht="5.25" customHeight="1" hidden="1" thickBot="1">
      <c r="A101" s="22"/>
      <c r="B101" s="52"/>
      <c r="C101" s="53"/>
      <c r="D101" s="54"/>
      <c r="E101" s="12"/>
      <c r="F101" s="6"/>
      <c r="G101" s="6"/>
      <c r="H101" s="48"/>
      <c r="I101" s="137"/>
      <c r="J101" s="135"/>
    </row>
    <row r="102" spans="1:10" s="13" customFormat="1" ht="36" customHeight="1" hidden="1" thickBot="1">
      <c r="A102" s="11" t="s">
        <v>49</v>
      </c>
      <c r="B102" s="41"/>
      <c r="C102" s="35"/>
      <c r="D102" s="36"/>
      <c r="E102" s="3">
        <f>D102/D156*100</f>
        <v>0</v>
      </c>
      <c r="F102" s="3" t="e">
        <f>D102/B102*100</f>
        <v>#DIV/0!</v>
      </c>
      <c r="G102" s="3" t="e">
        <f>D102/C102*100</f>
        <v>#DIV/0!</v>
      </c>
      <c r="H102" s="36">
        <f>B102-D102</f>
        <v>0</v>
      </c>
      <c r="I102" s="36">
        <f>C102-D102</f>
        <v>0</v>
      </c>
      <c r="J102" s="133"/>
    </row>
    <row r="103" spans="1:10" ht="6.75" customHeight="1" hidden="1" thickBot="1">
      <c r="A103" s="138"/>
      <c r="B103" s="139"/>
      <c r="C103" s="53"/>
      <c r="D103" s="54"/>
      <c r="E103" s="12"/>
      <c r="F103" s="6"/>
      <c r="G103" s="6"/>
      <c r="H103" s="48"/>
      <c r="I103" s="137"/>
      <c r="J103" s="135"/>
    </row>
    <row r="104" spans="1:10" s="29" customFormat="1" ht="19.5" thickBot="1">
      <c r="A104" s="11" t="s">
        <v>9</v>
      </c>
      <c r="B104" s="82">
        <f>41645.4-26.4</f>
        <v>41619</v>
      </c>
      <c r="C104" s="65">
        <f>73778+7.6+15.1-60.1+7.6-42.3+7.6+46</f>
        <v>73759.50000000001</v>
      </c>
      <c r="D104" s="61">
        <f>152.2+12.4+164.7+14+1585.4+13.1+10.2+18+148.6+2141.8+73.9+131.3+1879.3+351.3+97.1+16.6+48.3+0.1+592.9+250.5+1840.9+85.4+148.3-0.2+534.2+1861+58.9+713.5+44.9+41.8+28.7+0.2+244.7+2133+95.9+222.1+227.2+5.1+12.2+1874.9+12+12.4+688.5+49.9+11+256+1932.3+55.7+189.7+89.6+226.4+270.6+59.6+10+1805.8+11.7+1.4+98.5+184.6+37.9+396.2+274.1+56.2+2+55.4+2219.8+21.1+622.2+60.7+180.9+79.2+0.6+1710.9+116.5+38.5+30.7+610.3+196.5+53.2+1580.1+1.8</f>
        <v>32184.900000000005</v>
      </c>
      <c r="E104" s="16">
        <f>D104/D156*100</f>
        <v>2.6104358162115604</v>
      </c>
      <c r="F104" s="16">
        <f>D104/B104*100</f>
        <v>77.33222806891085</v>
      </c>
      <c r="G104" s="16">
        <f aca="true" t="shared" si="13" ref="G104:G154">D104/C104*100</f>
        <v>43.634921603318894</v>
      </c>
      <c r="H104" s="61">
        <f aca="true" t="shared" si="14" ref="H104:H154">B104-D104</f>
        <v>9434.099999999995</v>
      </c>
      <c r="I104" s="61">
        <f aca="true" t="shared" si="15" ref="I104:I154">C104-D104</f>
        <v>41574.600000000006</v>
      </c>
      <c r="J104" s="84"/>
    </row>
    <row r="105" spans="1:9" s="135" customFormat="1" ht="18.75" customHeight="1">
      <c r="A105" s="89" t="s">
        <v>3</v>
      </c>
      <c r="B105" s="100">
        <v>271.8</v>
      </c>
      <c r="C105" s="101">
        <v>543.6</v>
      </c>
      <c r="D105" s="101">
        <f>19.3+40.4+6+27+20.5</f>
        <v>113.2</v>
      </c>
      <c r="E105" s="102">
        <f>D105/D104*100</f>
        <v>0.3517177309856485</v>
      </c>
      <c r="F105" s="93">
        <f>D105/B105*100</f>
        <v>41.648270787343634</v>
      </c>
      <c r="G105" s="102">
        <f>D105/C105*100</f>
        <v>20.824135393671817</v>
      </c>
      <c r="H105" s="101">
        <f t="shared" si="14"/>
        <v>158.60000000000002</v>
      </c>
      <c r="I105" s="101">
        <f t="shared" si="15"/>
        <v>430.40000000000003</v>
      </c>
    </row>
    <row r="106" spans="1:9" s="135" customFormat="1" ht="18">
      <c r="A106" s="103" t="s">
        <v>46</v>
      </c>
      <c r="B106" s="90">
        <f>37146.4-112</f>
        <v>37034.4</v>
      </c>
      <c r="C106" s="91">
        <f>65554.9+7.6+15.1-60.1+45.6-3+37.7+7.6-160</f>
        <v>65445.40000000001</v>
      </c>
      <c r="D106" s="91">
        <f>152.1+12.4+164.7+14+1585.4+8+18+148.5+2111.8+73.9+131.3+1879.3+114.9+217.3+66.2+14+0.1+582.9+250.5+1833.3+55+120.2+529.4+1861+47.8+713.5+1.8+35.2+244.7+2133+95.9+222+164.6+40.2+5.1+1855.8+12+212.4+439.1+30.6+235.8+1919+31.6-10.2+186+56.4+59.6+10+1790.4+11.7+1.4+98.5+100+50+37.4+190.4+50.2+2+2219.7+82.3+53.4+153.9+45.8-0.1+1710.9+42.2+17.4+70.5+176+24.3+1559.4+1.8</f>
        <v>29175.600000000013</v>
      </c>
      <c r="E106" s="93">
        <f>D106/D104*100</f>
        <v>90.64996318149197</v>
      </c>
      <c r="F106" s="93">
        <f aca="true" t="shared" si="16" ref="F106:F154">D106/B106*100</f>
        <v>78.77972911671314</v>
      </c>
      <c r="G106" s="93">
        <f t="shared" si="13"/>
        <v>44.58006215868496</v>
      </c>
      <c r="H106" s="91">
        <f t="shared" si="14"/>
        <v>7858.799999999988</v>
      </c>
      <c r="I106" s="91">
        <f t="shared" si="15"/>
        <v>36269.799999999996</v>
      </c>
    </row>
    <row r="107" spans="1:9" s="135" customFormat="1" ht="54.75" hidden="1" thickBot="1">
      <c r="A107" s="104" t="s">
        <v>77</v>
      </c>
      <c r="B107" s="105"/>
      <c r="C107" s="105"/>
      <c r="D107" s="105"/>
      <c r="E107" s="106">
        <f>D107/D104*100</f>
        <v>0</v>
      </c>
      <c r="F107" s="106" t="e">
        <f>D107/B107*100</f>
        <v>#DIV/0!</v>
      </c>
      <c r="G107" s="106" t="e">
        <f>D107/C107*100</f>
        <v>#DIV/0!</v>
      </c>
      <c r="H107" s="107">
        <f t="shared" si="14"/>
        <v>0</v>
      </c>
      <c r="I107" s="107">
        <f>C107-D107</f>
        <v>0</v>
      </c>
    </row>
    <row r="108" spans="1:9" s="135" customFormat="1" ht="18.75" thickBot="1">
      <c r="A108" s="104" t="s">
        <v>25</v>
      </c>
      <c r="B108" s="105">
        <f>B104-B105-B106</f>
        <v>4312.799999999996</v>
      </c>
      <c r="C108" s="105">
        <f>C104-C105-C106</f>
        <v>7770.5</v>
      </c>
      <c r="D108" s="105">
        <f>D104-D105-D106</f>
        <v>2896.0999999999913</v>
      </c>
      <c r="E108" s="106">
        <f>D108/D104*100</f>
        <v>8.99831908752238</v>
      </c>
      <c r="F108" s="106">
        <f t="shared" si="16"/>
        <v>67.15127063624547</v>
      </c>
      <c r="G108" s="106">
        <f t="shared" si="13"/>
        <v>37.270445917251024</v>
      </c>
      <c r="H108" s="107">
        <f t="shared" si="14"/>
        <v>1416.7000000000044</v>
      </c>
      <c r="I108" s="107">
        <f t="shared" si="15"/>
        <v>4874.400000000009</v>
      </c>
    </row>
    <row r="109" spans="1:10" s="2" customFormat="1" ht="26.25" customHeight="1" thickBot="1">
      <c r="A109" s="62" t="s">
        <v>26</v>
      </c>
      <c r="B109" s="63">
        <f>SUM(B110:B153)-B117-B122+B154-B144-B145-B111-B114-B125-B126-B142-B135-B133-B140-B120</f>
        <v>316224.89999999997</v>
      </c>
      <c r="C109" s="63">
        <f>SUM(C110:C153)-C117-C122+C154-C144-C145-C111-C114-C125-C126-C142-C135-C133-C140-C120</f>
        <v>637096</v>
      </c>
      <c r="D109" s="63">
        <f>SUM(D110:D153)-D117-D122+D154-D144-D145-D111-D114-D125-D126-D142-D135-D133-D140-D120</f>
        <v>275577.71979</v>
      </c>
      <c r="E109" s="64">
        <f>D109/D156*100</f>
        <v>22.35141168342077</v>
      </c>
      <c r="F109" s="64">
        <f>D109/B109*100</f>
        <v>87.14611651074917</v>
      </c>
      <c r="G109" s="64">
        <f t="shared" si="13"/>
        <v>43.255289593719</v>
      </c>
      <c r="H109" s="63">
        <f t="shared" si="14"/>
        <v>40647.18020999996</v>
      </c>
      <c r="I109" s="63">
        <f t="shared" si="15"/>
        <v>361518.28021</v>
      </c>
      <c r="J109" s="97"/>
    </row>
    <row r="110" spans="1:9" s="135" customFormat="1" ht="37.5">
      <c r="A110" s="150" t="s">
        <v>50</v>
      </c>
      <c r="B110" s="151">
        <v>2815.4</v>
      </c>
      <c r="C110" s="131">
        <v>4983.7</v>
      </c>
      <c r="D110" s="85">
        <f>1.8+140.5+138.5+0.9+33+80.9+13.3+0.1+53.3+109+1.4+124.9+19.8+24.9+9+3.6+91.3+61.8+18.7+59+14.7+34.7+0.1+2.2+3.8+2.1+129.5+15.3+0.5-0.3+15.6+0.9+145.2+1.4+33.8+73+26.3+109.9+61.1</f>
        <v>1655.4999999999998</v>
      </c>
      <c r="E110" s="86">
        <f>D110/D109*100</f>
        <v>0.6007379701310939</v>
      </c>
      <c r="F110" s="86">
        <f t="shared" si="16"/>
        <v>58.801591248135246</v>
      </c>
      <c r="G110" s="86">
        <f t="shared" si="13"/>
        <v>33.21829163071613</v>
      </c>
      <c r="H110" s="87">
        <f t="shared" si="14"/>
        <v>1159.9000000000003</v>
      </c>
      <c r="I110" s="87">
        <f t="shared" si="15"/>
        <v>3328.2</v>
      </c>
    </row>
    <row r="111" spans="1:9" s="135" customFormat="1" ht="18">
      <c r="A111" s="89" t="s">
        <v>23</v>
      </c>
      <c r="B111" s="90">
        <v>1248.1</v>
      </c>
      <c r="C111" s="91">
        <v>2332.2</v>
      </c>
      <c r="D111" s="92">
        <f>2.4+138.5+0.9+33.1+80.9+53.3+1.8+1.1+124.9+24.9+6.2+38.5+59+14.7+33.9+0.6+2.3+35.5+60</f>
        <v>712.5</v>
      </c>
      <c r="E111" s="93">
        <f>D111/D110*100</f>
        <v>43.038356991845376</v>
      </c>
      <c r="F111" s="93">
        <f t="shared" si="16"/>
        <v>57.086771893277785</v>
      </c>
      <c r="G111" s="93">
        <f t="shared" si="13"/>
        <v>30.550553125803965</v>
      </c>
      <c r="H111" s="91">
        <f t="shared" si="14"/>
        <v>535.5999999999999</v>
      </c>
      <c r="I111" s="91">
        <f t="shared" si="15"/>
        <v>1619.6999999999998</v>
      </c>
    </row>
    <row r="112" spans="1:9" s="135" customFormat="1" ht="34.5" customHeight="1" hidden="1">
      <c r="A112" s="152" t="s">
        <v>76</v>
      </c>
      <c r="B112" s="153"/>
      <c r="C112" s="87"/>
      <c r="D112" s="85"/>
      <c r="E112" s="86">
        <f>D112/D109*100</f>
        <v>0</v>
      </c>
      <c r="F112" s="86" t="e">
        <f>D112/B112*100</f>
        <v>#DIV/0!</v>
      </c>
      <c r="G112" s="86" t="e">
        <f t="shared" si="13"/>
        <v>#DIV/0!</v>
      </c>
      <c r="H112" s="87">
        <f t="shared" si="14"/>
        <v>0</v>
      </c>
      <c r="I112" s="87">
        <f t="shared" si="15"/>
        <v>0</v>
      </c>
    </row>
    <row r="113" spans="1:9" s="84" customFormat="1" ht="34.5" customHeight="1">
      <c r="A113" s="152" t="s">
        <v>91</v>
      </c>
      <c r="B113" s="157">
        <v>75</v>
      </c>
      <c r="C113" s="94">
        <v>300</v>
      </c>
      <c r="D113" s="95"/>
      <c r="E113" s="86">
        <f>D113/D109*100</f>
        <v>0</v>
      </c>
      <c r="F113" s="86">
        <f t="shared" si="16"/>
        <v>0</v>
      </c>
      <c r="G113" s="86">
        <f t="shared" si="13"/>
        <v>0</v>
      </c>
      <c r="H113" s="87">
        <f t="shared" si="14"/>
        <v>75</v>
      </c>
      <c r="I113" s="87">
        <f t="shared" si="15"/>
        <v>300</v>
      </c>
    </row>
    <row r="114" spans="1:9" s="135" customFormat="1" ht="18.75" customHeight="1" hidden="1">
      <c r="A114" s="89" t="s">
        <v>23</v>
      </c>
      <c r="B114" s="158"/>
      <c r="C114" s="91"/>
      <c r="D114" s="92"/>
      <c r="E114" s="93"/>
      <c r="F114" s="93" t="e">
        <f t="shared" si="16"/>
        <v>#DIV/0!</v>
      </c>
      <c r="G114" s="93" t="e">
        <f t="shared" si="13"/>
        <v>#DIV/0!</v>
      </c>
      <c r="H114" s="91">
        <f t="shared" si="14"/>
        <v>0</v>
      </c>
      <c r="I114" s="91">
        <f t="shared" si="15"/>
        <v>0</v>
      </c>
    </row>
    <row r="115" spans="1:9" s="135" customFormat="1" ht="18.75" customHeight="1" hidden="1">
      <c r="A115" s="152" t="s">
        <v>87</v>
      </c>
      <c r="B115" s="157"/>
      <c r="C115" s="87"/>
      <c r="D115" s="85"/>
      <c r="E115" s="86">
        <f>D115/D109*100</f>
        <v>0</v>
      </c>
      <c r="F115" s="86" t="e">
        <f t="shared" si="16"/>
        <v>#DIV/0!</v>
      </c>
      <c r="G115" s="86" t="e">
        <f t="shared" si="13"/>
        <v>#DIV/0!</v>
      </c>
      <c r="H115" s="87">
        <f t="shared" si="14"/>
        <v>0</v>
      </c>
      <c r="I115" s="87">
        <f t="shared" si="15"/>
        <v>0</v>
      </c>
    </row>
    <row r="116" spans="1:11" s="135" customFormat="1" ht="37.5">
      <c r="A116" s="152" t="s">
        <v>36</v>
      </c>
      <c r="B116" s="157">
        <v>3469.6</v>
      </c>
      <c r="C116" s="87">
        <v>5785.2</v>
      </c>
      <c r="D116" s="85">
        <f>187.7+10.4+531.5+38.4+44.9+0.1+53.3+13.7+14.6+4.3+409.7+22.6+33.2+12.9+10.1+431+0.1+44.6+9.7+432.7+17.3</f>
        <v>2322.7999999999997</v>
      </c>
      <c r="E116" s="86">
        <f>D116/D109*100</f>
        <v>0.8428838157780156</v>
      </c>
      <c r="F116" s="86">
        <f t="shared" si="16"/>
        <v>66.94719852432557</v>
      </c>
      <c r="G116" s="86">
        <f t="shared" si="13"/>
        <v>40.150729447555825</v>
      </c>
      <c r="H116" s="87">
        <f t="shared" si="14"/>
        <v>1146.8000000000002</v>
      </c>
      <c r="I116" s="87">
        <f t="shared" si="15"/>
        <v>3462.4</v>
      </c>
      <c r="K116" s="159">
        <f>H124+H143</f>
        <v>1008.4999999999999</v>
      </c>
    </row>
    <row r="117" spans="1:9" s="135" customFormat="1" ht="18" hidden="1">
      <c r="A117" s="154" t="s">
        <v>41</v>
      </c>
      <c r="B117" s="158"/>
      <c r="C117" s="91"/>
      <c r="D117" s="92"/>
      <c r="E117" s="86"/>
      <c r="F117" s="86" t="e">
        <f t="shared" si="16"/>
        <v>#DIV/0!</v>
      </c>
      <c r="G117" s="93" t="e">
        <f t="shared" si="13"/>
        <v>#DIV/0!</v>
      </c>
      <c r="H117" s="91">
        <f t="shared" si="14"/>
        <v>0</v>
      </c>
      <c r="I117" s="91">
        <f t="shared" si="15"/>
        <v>0</v>
      </c>
    </row>
    <row r="118" spans="1:9" s="84" customFormat="1" ht="18.75" customHeight="1" hidden="1">
      <c r="A118" s="152" t="s">
        <v>88</v>
      </c>
      <c r="B118" s="157"/>
      <c r="C118" s="94"/>
      <c r="D118" s="95"/>
      <c r="E118" s="96">
        <f>D118/D109*100</f>
        <v>0</v>
      </c>
      <c r="F118" s="86" t="e">
        <f t="shared" si="16"/>
        <v>#DIV/0!</v>
      </c>
      <c r="G118" s="96" t="e">
        <f t="shared" si="13"/>
        <v>#DIV/0!</v>
      </c>
      <c r="H118" s="94">
        <f t="shared" si="14"/>
        <v>0</v>
      </c>
      <c r="I118" s="94">
        <f t="shared" si="15"/>
        <v>0</v>
      </c>
    </row>
    <row r="119" spans="1:9" s="135" customFormat="1" ht="37.5" hidden="1">
      <c r="A119" s="152" t="s">
        <v>45</v>
      </c>
      <c r="B119" s="157"/>
      <c r="C119" s="87"/>
      <c r="D119" s="85"/>
      <c r="E119" s="86">
        <f>D119/D109*100</f>
        <v>0</v>
      </c>
      <c r="F119" s="86" t="e">
        <f>D119/B119*100</f>
        <v>#DIV/0!</v>
      </c>
      <c r="G119" s="86" t="e">
        <f t="shared" si="13"/>
        <v>#DIV/0!</v>
      </c>
      <c r="H119" s="87">
        <f t="shared" si="14"/>
        <v>0</v>
      </c>
      <c r="I119" s="87">
        <f t="shared" si="15"/>
        <v>0</v>
      </c>
    </row>
    <row r="120" spans="1:9" s="135" customFormat="1" ht="18" hidden="1">
      <c r="A120" s="154" t="s">
        <v>86</v>
      </c>
      <c r="B120" s="158"/>
      <c r="C120" s="91"/>
      <c r="D120" s="92"/>
      <c r="E120" s="93" t="e">
        <f>D120/D119*100</f>
        <v>#DIV/0!</v>
      </c>
      <c r="F120" s="93" t="e">
        <f>D120/B120*100</f>
        <v>#DIV/0!</v>
      </c>
      <c r="G120" s="93" t="e">
        <f>D120/C120*100</f>
        <v>#DIV/0!</v>
      </c>
      <c r="H120" s="91">
        <f>B120-D120</f>
        <v>0</v>
      </c>
      <c r="I120" s="91">
        <f>C120-D120</f>
        <v>0</v>
      </c>
    </row>
    <row r="121" spans="1:9" s="97" customFormat="1" ht="18.75">
      <c r="A121" s="152" t="s">
        <v>13</v>
      </c>
      <c r="B121" s="157">
        <v>606.2</v>
      </c>
      <c r="C121" s="94">
        <v>1024.8</v>
      </c>
      <c r="D121" s="85">
        <f>80.5+0.2+38.8+80.5+0.8+10+10.3+80.5+16.8+0.3+4+80.5+10+10+0.3+0.8+80.5+1.1+1.1</f>
        <v>507.0000000000001</v>
      </c>
      <c r="E121" s="86">
        <f>D121/D109*100</f>
        <v>0.18397713733401674</v>
      </c>
      <c r="F121" s="86">
        <f t="shared" si="16"/>
        <v>83.63576377433192</v>
      </c>
      <c r="G121" s="86">
        <f t="shared" si="13"/>
        <v>49.473067915690876</v>
      </c>
      <c r="H121" s="87">
        <f t="shared" si="14"/>
        <v>99.19999999999993</v>
      </c>
      <c r="I121" s="87">
        <f t="shared" si="15"/>
        <v>517.7999999999998</v>
      </c>
    </row>
    <row r="122" spans="1:9" s="98" customFormat="1" ht="18">
      <c r="A122" s="154" t="s">
        <v>41</v>
      </c>
      <c r="B122" s="158">
        <v>402.6</v>
      </c>
      <c r="C122" s="91">
        <v>724.7</v>
      </c>
      <c r="D122" s="92">
        <f>80.5+80.5+80.5+80.5+0.1+80.5</f>
        <v>402.6</v>
      </c>
      <c r="E122" s="93">
        <f>D122/D121*100</f>
        <v>79.40828402366863</v>
      </c>
      <c r="F122" s="93">
        <f t="shared" si="16"/>
        <v>100</v>
      </c>
      <c r="G122" s="93">
        <f t="shared" si="13"/>
        <v>55.554022354077546</v>
      </c>
      <c r="H122" s="91">
        <f t="shared" si="14"/>
        <v>0</v>
      </c>
      <c r="I122" s="91">
        <f t="shared" si="15"/>
        <v>322.1</v>
      </c>
    </row>
    <row r="123" spans="1:9" s="97" customFormat="1" ht="18.75">
      <c r="A123" s="152" t="s">
        <v>102</v>
      </c>
      <c r="B123" s="157">
        <v>195</v>
      </c>
      <c r="C123" s="94">
        <v>347</v>
      </c>
      <c r="D123" s="85">
        <f>34.5+13.8</f>
        <v>48.3</v>
      </c>
      <c r="E123" s="86">
        <f>D123/D109*100</f>
        <v>0.017526816041879698</v>
      </c>
      <c r="F123" s="86">
        <f t="shared" si="16"/>
        <v>24.76923076923077</v>
      </c>
      <c r="G123" s="86">
        <f t="shared" si="13"/>
        <v>13.919308357348703</v>
      </c>
      <c r="H123" s="87">
        <f t="shared" si="14"/>
        <v>146.7</v>
      </c>
      <c r="I123" s="87">
        <f t="shared" si="15"/>
        <v>298.7</v>
      </c>
    </row>
    <row r="124" spans="1:9" s="97" customFormat="1" ht="21.75" customHeight="1">
      <c r="A124" s="152" t="s">
        <v>92</v>
      </c>
      <c r="B124" s="157">
        <v>841.8</v>
      </c>
      <c r="C124" s="94">
        <f>86+920</f>
        <v>1006</v>
      </c>
      <c r="D124" s="95">
        <f>54.4+15.9+15.6</f>
        <v>85.89999999999999</v>
      </c>
      <c r="E124" s="96">
        <f>D124/D109*100</f>
        <v>0.03117087987572393</v>
      </c>
      <c r="F124" s="86">
        <f t="shared" si="16"/>
        <v>10.20432406747446</v>
      </c>
      <c r="G124" s="86">
        <f t="shared" si="13"/>
        <v>8.538767395626241</v>
      </c>
      <c r="H124" s="87">
        <f t="shared" si="14"/>
        <v>755.9</v>
      </c>
      <c r="I124" s="87">
        <f t="shared" si="15"/>
        <v>920.1</v>
      </c>
    </row>
    <row r="125" spans="1:9" s="99" customFormat="1" ht="18" hidden="1">
      <c r="A125" s="89" t="s">
        <v>78</v>
      </c>
      <c r="B125" s="158"/>
      <c r="C125" s="91"/>
      <c r="D125" s="92"/>
      <c r="E125" s="86"/>
      <c r="F125" s="93" t="e">
        <f>D125/B125*100</f>
        <v>#DIV/0!</v>
      </c>
      <c r="G125" s="93" t="e">
        <f t="shared" si="13"/>
        <v>#DIV/0!</v>
      </c>
      <c r="H125" s="91">
        <f t="shared" si="14"/>
        <v>0</v>
      </c>
      <c r="I125" s="91">
        <f t="shared" si="15"/>
        <v>0</v>
      </c>
    </row>
    <row r="126" spans="1:9" s="99" customFormat="1" ht="18" hidden="1">
      <c r="A126" s="89" t="s">
        <v>47</v>
      </c>
      <c r="B126" s="158"/>
      <c r="C126" s="91"/>
      <c r="D126" s="92"/>
      <c r="E126" s="86"/>
      <c r="F126" s="93" t="e">
        <f>D126/B126*100</f>
        <v>#DIV/0!</v>
      </c>
      <c r="G126" s="93" t="e">
        <f t="shared" si="13"/>
        <v>#DIV/0!</v>
      </c>
      <c r="H126" s="91">
        <f t="shared" si="14"/>
        <v>0</v>
      </c>
      <c r="I126" s="91">
        <f t="shared" si="15"/>
        <v>0</v>
      </c>
    </row>
    <row r="127" spans="1:11" s="97" customFormat="1" ht="37.5">
      <c r="A127" s="152" t="s">
        <v>93</v>
      </c>
      <c r="B127" s="157">
        <v>13006.2</v>
      </c>
      <c r="C127" s="94">
        <f>6156.2+17413.5-8000</f>
        <v>15569.7</v>
      </c>
      <c r="D127" s="95">
        <f>871.9+408.1+585.9+900.5+901.8+879.7+893+994.8+887.7+852.4+0.1+789.7+988.1+754.9+941.7</f>
        <v>11650.300000000001</v>
      </c>
      <c r="E127" s="96">
        <f>D127/D109*100</f>
        <v>4.227591406474349</v>
      </c>
      <c r="F127" s="86">
        <f t="shared" si="16"/>
        <v>89.57497193646108</v>
      </c>
      <c r="G127" s="86">
        <f t="shared" si="13"/>
        <v>74.82674682235367</v>
      </c>
      <c r="H127" s="87">
        <f t="shared" si="14"/>
        <v>1355.8999999999996</v>
      </c>
      <c r="I127" s="87">
        <f t="shared" si="15"/>
        <v>3919.3999999999996</v>
      </c>
      <c r="K127" s="88">
        <f>H110+H113+H116+H121+H123+H129+H130+H132+H134+H138+H139+H141+H150+H70+H128</f>
        <v>3956.1653800000004</v>
      </c>
    </row>
    <row r="128" spans="1:11" s="97" customFormat="1" ht="18.75">
      <c r="A128" s="152" t="s">
        <v>89</v>
      </c>
      <c r="B128" s="157">
        <v>96</v>
      </c>
      <c r="C128" s="94">
        <v>150</v>
      </c>
      <c r="D128" s="95"/>
      <c r="E128" s="96">
        <f>D128/D109*100</f>
        <v>0</v>
      </c>
      <c r="F128" s="86">
        <f t="shared" si="16"/>
        <v>0</v>
      </c>
      <c r="G128" s="86">
        <f t="shared" si="13"/>
        <v>0</v>
      </c>
      <c r="H128" s="87">
        <f t="shared" si="14"/>
        <v>96</v>
      </c>
      <c r="I128" s="87">
        <f t="shared" si="15"/>
        <v>150</v>
      </c>
      <c r="K128" s="88">
        <f>H111+H142</f>
        <v>640.4999999999999</v>
      </c>
    </row>
    <row r="129" spans="1:13" s="97" customFormat="1" ht="37.5">
      <c r="A129" s="152" t="s">
        <v>98</v>
      </c>
      <c r="B129" s="157">
        <v>483</v>
      </c>
      <c r="C129" s="94">
        <v>483</v>
      </c>
      <c r="D129" s="95">
        <v>2.2</v>
      </c>
      <c r="E129" s="96">
        <f>D129/D109*100</f>
        <v>0.0007983228838951416</v>
      </c>
      <c r="F129" s="86">
        <f t="shared" si="16"/>
        <v>0.45548654244306425</v>
      </c>
      <c r="G129" s="86">
        <f t="shared" si="13"/>
        <v>0.45548654244306425</v>
      </c>
      <c r="H129" s="87">
        <f t="shared" si="14"/>
        <v>480.8</v>
      </c>
      <c r="I129" s="87">
        <f t="shared" si="15"/>
        <v>480.8</v>
      </c>
      <c r="K129" s="88">
        <f>H133+H140</f>
        <v>150.79999999999995</v>
      </c>
      <c r="M129" s="88"/>
    </row>
    <row r="130" spans="1:13" s="97" customFormat="1" ht="37.5" hidden="1">
      <c r="A130" s="152" t="s">
        <v>83</v>
      </c>
      <c r="B130" s="157">
        <f>154.3-154.3</f>
        <v>0</v>
      </c>
      <c r="C130" s="94">
        <f>154.3-154.3</f>
        <v>0</v>
      </c>
      <c r="D130" s="95"/>
      <c r="E130" s="96">
        <f>D130/D109*100</f>
        <v>0</v>
      </c>
      <c r="F130" s="86" t="e">
        <f t="shared" si="16"/>
        <v>#DIV/0!</v>
      </c>
      <c r="G130" s="86" t="e">
        <f t="shared" si="13"/>
        <v>#DIV/0!</v>
      </c>
      <c r="H130" s="87">
        <f t="shared" si="14"/>
        <v>0</v>
      </c>
      <c r="I130" s="87">
        <f t="shared" si="15"/>
        <v>0</v>
      </c>
      <c r="M130" s="88"/>
    </row>
    <row r="131" spans="1:9" s="97" customFormat="1" ht="18.75" hidden="1">
      <c r="A131" s="154" t="s">
        <v>81</v>
      </c>
      <c r="B131" s="157"/>
      <c r="C131" s="94"/>
      <c r="D131" s="95"/>
      <c r="E131" s="96">
        <f>D131/D110*100</f>
        <v>0</v>
      </c>
      <c r="F131" s="86" t="e">
        <f t="shared" si="16"/>
        <v>#DIV/0!</v>
      </c>
      <c r="G131" s="86" t="e">
        <f t="shared" si="13"/>
        <v>#DIV/0!</v>
      </c>
      <c r="H131" s="87">
        <f t="shared" si="14"/>
        <v>0</v>
      </c>
      <c r="I131" s="87">
        <f t="shared" si="15"/>
        <v>0</v>
      </c>
    </row>
    <row r="132" spans="1:13" s="97" customFormat="1" ht="37.5">
      <c r="A132" s="152" t="s">
        <v>55</v>
      </c>
      <c r="B132" s="157">
        <v>382</v>
      </c>
      <c r="C132" s="94">
        <v>1003.9</v>
      </c>
      <c r="D132" s="95">
        <f>7.7+12.9+7.7+2.8+0.3+0.9+48+9.2+16+18.7+7+7.7+1.3+0.4+12+8.8+4.3+4.6+2.7+28.5+7.2+7.7</f>
        <v>216.4</v>
      </c>
      <c r="E132" s="96">
        <f>D132/D109*100</f>
        <v>0.07852594185223119</v>
      </c>
      <c r="F132" s="86">
        <f t="shared" si="16"/>
        <v>56.64921465968587</v>
      </c>
      <c r="G132" s="86">
        <f t="shared" si="13"/>
        <v>21.55593186572368</v>
      </c>
      <c r="H132" s="87">
        <f t="shared" si="14"/>
        <v>165.6</v>
      </c>
      <c r="I132" s="87">
        <f t="shared" si="15"/>
        <v>787.5</v>
      </c>
      <c r="M132" s="88"/>
    </row>
    <row r="133" spans="1:13" s="98" customFormat="1" ht="18">
      <c r="A133" s="89" t="s">
        <v>86</v>
      </c>
      <c r="B133" s="158">
        <v>181.7</v>
      </c>
      <c r="C133" s="91">
        <v>553.3</v>
      </c>
      <c r="D133" s="92">
        <f>7.7+48+7.7+7.7+7.7+7.7+7.7</f>
        <v>94.20000000000002</v>
      </c>
      <c r="E133" s="93">
        <f>D133/D132*100</f>
        <v>43.53049907578559</v>
      </c>
      <c r="F133" s="93">
        <f>D133/B133*100</f>
        <v>51.84369840396259</v>
      </c>
      <c r="G133" s="93">
        <f t="shared" si="13"/>
        <v>17.025121995300925</v>
      </c>
      <c r="H133" s="91">
        <f t="shared" si="14"/>
        <v>87.49999999999997</v>
      </c>
      <c r="I133" s="91">
        <f t="shared" si="15"/>
        <v>459.0999999999999</v>
      </c>
      <c r="M133" s="128"/>
    </row>
    <row r="134" spans="1:9" s="97" customFormat="1" ht="37.5">
      <c r="A134" s="152" t="s">
        <v>101</v>
      </c>
      <c r="B134" s="157">
        <v>75</v>
      </c>
      <c r="C134" s="94">
        <v>250</v>
      </c>
      <c r="D134" s="95"/>
      <c r="E134" s="96">
        <f>D134/D109*100</f>
        <v>0</v>
      </c>
      <c r="F134" s="86">
        <f t="shared" si="16"/>
        <v>0</v>
      </c>
      <c r="G134" s="86">
        <f t="shared" si="13"/>
        <v>0</v>
      </c>
      <c r="H134" s="87">
        <f t="shared" si="14"/>
        <v>75</v>
      </c>
      <c r="I134" s="87">
        <f t="shared" si="15"/>
        <v>250</v>
      </c>
    </row>
    <row r="135" spans="1:9" s="98" customFormat="1" ht="18" hidden="1">
      <c r="A135" s="154" t="s">
        <v>41</v>
      </c>
      <c r="B135" s="158"/>
      <c r="C135" s="91"/>
      <c r="D135" s="92"/>
      <c r="E135" s="93"/>
      <c r="F135" s="93" t="e">
        <f>D135/B135*100</f>
        <v>#DIV/0!</v>
      </c>
      <c r="G135" s="93" t="e">
        <f t="shared" si="13"/>
        <v>#DIV/0!</v>
      </c>
      <c r="H135" s="91">
        <f t="shared" si="14"/>
        <v>0</v>
      </c>
      <c r="I135" s="91">
        <f t="shared" si="15"/>
        <v>0</v>
      </c>
    </row>
    <row r="136" spans="1:9" s="97" customFormat="1" ht="35.25" customHeight="1" hidden="1">
      <c r="A136" s="152" t="s">
        <v>100</v>
      </c>
      <c r="B136" s="157"/>
      <c r="C136" s="94"/>
      <c r="D136" s="95"/>
      <c r="E136" s="96">
        <f>D136/D109*100</f>
        <v>0</v>
      </c>
      <c r="F136" s="86" t="e">
        <f t="shared" si="16"/>
        <v>#DIV/0!</v>
      </c>
      <c r="G136" s="86" t="e">
        <f t="shared" si="13"/>
        <v>#DIV/0!</v>
      </c>
      <c r="H136" s="87">
        <f t="shared" si="14"/>
        <v>0</v>
      </c>
      <c r="I136" s="87">
        <f>C136-D136</f>
        <v>0</v>
      </c>
    </row>
    <row r="137" spans="1:9" s="97" customFormat="1" ht="21.75" customHeight="1" hidden="1">
      <c r="A137" s="152" t="s">
        <v>99</v>
      </c>
      <c r="B137" s="157"/>
      <c r="C137" s="94"/>
      <c r="D137" s="95"/>
      <c r="E137" s="96">
        <f>D137/D109*100</f>
        <v>0</v>
      </c>
      <c r="F137" s="86" t="e">
        <f t="shared" si="16"/>
        <v>#DIV/0!</v>
      </c>
      <c r="G137" s="86" t="e">
        <f t="shared" si="13"/>
        <v>#DIV/0!</v>
      </c>
      <c r="H137" s="87">
        <f t="shared" si="14"/>
        <v>0</v>
      </c>
      <c r="I137" s="87">
        <f t="shared" si="15"/>
        <v>0</v>
      </c>
    </row>
    <row r="138" spans="1:9" s="97" customFormat="1" ht="35.25" customHeight="1">
      <c r="A138" s="152" t="s">
        <v>85</v>
      </c>
      <c r="B138" s="157">
        <f>1729.7-700</f>
        <v>1029.7</v>
      </c>
      <c r="C138" s="94">
        <v>2964.5</v>
      </c>
      <c r="D138" s="95">
        <f>203+174+113.5+76.2+55.5+17.2+64.2+103.9+40.9+12.5</f>
        <v>860.9000000000001</v>
      </c>
      <c r="E138" s="96">
        <f>D138/D109*100</f>
        <v>0.31239825942969424</v>
      </c>
      <c r="F138" s="86">
        <f t="shared" si="16"/>
        <v>83.60687578906479</v>
      </c>
      <c r="G138" s="86">
        <f t="shared" si="13"/>
        <v>29.040310339011643</v>
      </c>
      <c r="H138" s="87">
        <f t="shared" si="14"/>
        <v>168.79999999999995</v>
      </c>
      <c r="I138" s="87">
        <f t="shared" si="15"/>
        <v>2103.6</v>
      </c>
    </row>
    <row r="139" spans="1:9" s="97" customFormat="1" ht="39" customHeight="1">
      <c r="A139" s="152" t="s">
        <v>52</v>
      </c>
      <c r="B139" s="157">
        <v>190</v>
      </c>
      <c r="C139" s="94">
        <v>350</v>
      </c>
      <c r="D139" s="95">
        <f>30+1.3+13+17.4</f>
        <v>61.699999999999996</v>
      </c>
      <c r="E139" s="96">
        <f>D139/D109*100</f>
        <v>0.022389328152877374</v>
      </c>
      <c r="F139" s="86">
        <f t="shared" si="16"/>
        <v>32.473684210526315</v>
      </c>
      <c r="G139" s="86">
        <f t="shared" si="13"/>
        <v>17.628571428571426</v>
      </c>
      <c r="H139" s="87">
        <f t="shared" si="14"/>
        <v>128.3</v>
      </c>
      <c r="I139" s="87">
        <f t="shared" si="15"/>
        <v>288.3</v>
      </c>
    </row>
    <row r="140" spans="1:9" s="98" customFormat="1" ht="18">
      <c r="A140" s="89" t="s">
        <v>86</v>
      </c>
      <c r="B140" s="158">
        <v>65</v>
      </c>
      <c r="C140" s="91">
        <v>110</v>
      </c>
      <c r="D140" s="92">
        <f>1.3+0.4</f>
        <v>1.7000000000000002</v>
      </c>
      <c r="E140" s="93"/>
      <c r="F140" s="86">
        <f>D140/B140*100</f>
        <v>2.6153846153846154</v>
      </c>
      <c r="G140" s="93">
        <f>D140/C140*100</f>
        <v>1.5454545454545456</v>
      </c>
      <c r="H140" s="91">
        <f>B140-D140</f>
        <v>63.3</v>
      </c>
      <c r="I140" s="91">
        <f>C140-D140</f>
        <v>108.3</v>
      </c>
    </row>
    <row r="141" spans="1:9" s="97" customFormat="1" ht="32.25" customHeight="1">
      <c r="A141" s="152" t="s">
        <v>82</v>
      </c>
      <c r="B141" s="157">
        <v>372.9</v>
      </c>
      <c r="C141" s="94">
        <v>642.9</v>
      </c>
      <c r="D141" s="95">
        <f>3.4+29.8+0.5+0.6+0.5+7+95+1+3.4+1.6+21.9+0.5+0.2+14.5+1.1+4.5+5.3+14.7+1.23462+4.7+11.1+4.8</f>
        <v>227.33462</v>
      </c>
      <c r="E141" s="96">
        <f>D141/D109*100</f>
        <v>0.08249383156709368</v>
      </c>
      <c r="F141" s="86">
        <f>D141/B141*100</f>
        <v>60.963963529096276</v>
      </c>
      <c r="G141" s="86">
        <f>D141/C141*100</f>
        <v>35.36080572406284</v>
      </c>
      <c r="H141" s="87">
        <f t="shared" si="14"/>
        <v>145.56537999999998</v>
      </c>
      <c r="I141" s="87">
        <f t="shared" si="15"/>
        <v>415.56538</v>
      </c>
    </row>
    <row r="142" spans="1:9" s="98" customFormat="1" ht="18">
      <c r="A142" s="89" t="s">
        <v>23</v>
      </c>
      <c r="B142" s="158">
        <v>302.9</v>
      </c>
      <c r="C142" s="91">
        <v>524.9</v>
      </c>
      <c r="D142" s="92">
        <f>0.4+29.8+0.5+0.6+95+0.7+18.5+0.5+14.5+1.1+4.5+14.8+1.2+11.1+4.8</f>
        <v>198</v>
      </c>
      <c r="E142" s="93">
        <f>D142/D141*100</f>
        <v>87.0962812439214</v>
      </c>
      <c r="F142" s="93">
        <f t="shared" si="16"/>
        <v>65.36810828656323</v>
      </c>
      <c r="G142" s="93">
        <f>D142/C142*100</f>
        <v>37.72147075633454</v>
      </c>
      <c r="H142" s="91">
        <f t="shared" si="14"/>
        <v>104.89999999999998</v>
      </c>
      <c r="I142" s="91">
        <f t="shared" si="15"/>
        <v>326.9</v>
      </c>
    </row>
    <row r="143" spans="1:9" s="97" customFormat="1" ht="18.75">
      <c r="A143" s="152" t="s">
        <v>94</v>
      </c>
      <c r="B143" s="157">
        <v>1393.9</v>
      </c>
      <c r="C143" s="94">
        <v>2262.8</v>
      </c>
      <c r="D143" s="95">
        <f>33.6+100.1+61.4+1.9+88.9+76.4+140.9+13.9+60.1+109.3+18.6+51.1+12+15.7+91.6+92.9+151.5+21.4</f>
        <v>1141.3000000000002</v>
      </c>
      <c r="E143" s="96">
        <f>D143/D109*100</f>
        <v>0.41414813972251135</v>
      </c>
      <c r="F143" s="86">
        <f t="shared" si="16"/>
        <v>81.87818351388192</v>
      </c>
      <c r="G143" s="86">
        <f t="shared" si="13"/>
        <v>50.4375110482588</v>
      </c>
      <c r="H143" s="87">
        <f t="shared" si="14"/>
        <v>252.5999999999999</v>
      </c>
      <c r="I143" s="87">
        <f t="shared" si="15"/>
        <v>1121.5</v>
      </c>
    </row>
    <row r="144" spans="1:9" s="98" customFormat="1" ht="18">
      <c r="A144" s="154" t="s">
        <v>41</v>
      </c>
      <c r="B144" s="158">
        <v>1086.2</v>
      </c>
      <c r="C144" s="91">
        <v>1867.4</v>
      </c>
      <c r="D144" s="92">
        <f>33.6+99.1+51.9+81.4+59+82.2+5.6+57.6+68.8+16.1-2.2+47.6+70.6+83.7+114.7+20.9</f>
        <v>890.6000000000001</v>
      </c>
      <c r="E144" s="93">
        <f>D144/D143*100</f>
        <v>78.03382108122317</v>
      </c>
      <c r="F144" s="93">
        <f t="shared" si="16"/>
        <v>81.99226661756583</v>
      </c>
      <c r="G144" s="93">
        <f t="shared" si="13"/>
        <v>47.69197815144051</v>
      </c>
      <c r="H144" s="91">
        <f t="shared" si="14"/>
        <v>195.5999999999999</v>
      </c>
      <c r="I144" s="91">
        <f t="shared" si="15"/>
        <v>976.8</v>
      </c>
    </row>
    <row r="145" spans="1:9" s="98" customFormat="1" ht="18">
      <c r="A145" s="89" t="s">
        <v>23</v>
      </c>
      <c r="B145" s="158">
        <v>29.1</v>
      </c>
      <c r="C145" s="91">
        <v>48</v>
      </c>
      <c r="D145" s="92">
        <f>9.3+7.4+6+0.1+2.5+0.1+0.1+1+0.5</f>
        <v>27.000000000000007</v>
      </c>
      <c r="E145" s="93">
        <f>D145/D143*100</f>
        <v>2.3657232979935165</v>
      </c>
      <c r="F145" s="93">
        <f t="shared" si="16"/>
        <v>92.78350515463919</v>
      </c>
      <c r="G145" s="93">
        <f>D145/C145*100</f>
        <v>56.250000000000014</v>
      </c>
      <c r="H145" s="91">
        <f t="shared" si="14"/>
        <v>2.0999999999999943</v>
      </c>
      <c r="I145" s="91">
        <f t="shared" si="15"/>
        <v>20.999999999999993</v>
      </c>
    </row>
    <row r="146" spans="1:9" s="97" customFormat="1" ht="33.75" customHeight="1">
      <c r="A146" s="149" t="s">
        <v>54</v>
      </c>
      <c r="B146" s="157">
        <v>961</v>
      </c>
      <c r="C146" s="94">
        <v>961</v>
      </c>
      <c r="D146" s="95">
        <f>563+398</f>
        <v>961</v>
      </c>
      <c r="E146" s="96">
        <f>D146/D109*100</f>
        <v>0.3487219506469232</v>
      </c>
      <c r="F146" s="86">
        <f t="shared" si="16"/>
        <v>100</v>
      </c>
      <c r="G146" s="86">
        <f t="shared" si="13"/>
        <v>100</v>
      </c>
      <c r="H146" s="87">
        <f t="shared" si="14"/>
        <v>0</v>
      </c>
      <c r="I146" s="87">
        <f t="shared" si="15"/>
        <v>0</v>
      </c>
    </row>
    <row r="147" spans="1:9" s="97" customFormat="1" ht="18.75" hidden="1">
      <c r="A147" s="149" t="s">
        <v>90</v>
      </c>
      <c r="B147" s="157"/>
      <c r="C147" s="94"/>
      <c r="D147" s="95"/>
      <c r="E147" s="96">
        <f>D147/D109*100</f>
        <v>0</v>
      </c>
      <c r="F147" s="86" t="e">
        <f>D147/B147*100</f>
        <v>#DIV/0!</v>
      </c>
      <c r="G147" s="86" t="e">
        <f t="shared" si="13"/>
        <v>#DIV/0!</v>
      </c>
      <c r="H147" s="87">
        <f t="shared" si="14"/>
        <v>0</v>
      </c>
      <c r="I147" s="87">
        <f t="shared" si="15"/>
        <v>0</v>
      </c>
    </row>
    <row r="148" spans="1:9" s="97" customFormat="1" ht="19.5" customHeight="1">
      <c r="A148" s="149" t="s">
        <v>95</v>
      </c>
      <c r="B148" s="157">
        <f>109267+4158.2</f>
        <v>113425.2</v>
      </c>
      <c r="C148" s="94">
        <f>148561.8-115.4-1283.5</f>
        <v>147162.9</v>
      </c>
      <c r="D148" s="95">
        <f>457.7+20.2+2395.4+103.8+376.7+1013.1+85.7+519.6+3989.1+192.1+9596.6+54.9+0.1+1136.8+45.8+142.4+633.4+904.4+5049.6+60.3+794.6+1729.3+2357+1916.4+610.8+432.8+777.3+690.7+110.8+5866.7+417+7410.2+1284.9+26.5-0.4+5739.9+1034.3+3540.7+767.6+4774.7+10767.4+32.2+629.6+927.9+1565.1+3028+858.1+427.6+997.7+2068.4+886.3+1119.7+4088.5+381.3+1551.1+4423+1571.7</f>
        <v>102383.1</v>
      </c>
      <c r="E148" s="96">
        <f>D148/D109*100</f>
        <v>37.152168933693034</v>
      </c>
      <c r="F148" s="86">
        <f t="shared" si="16"/>
        <v>90.26486177674803</v>
      </c>
      <c r="G148" s="86">
        <f t="shared" si="13"/>
        <v>69.57127102007368</v>
      </c>
      <c r="H148" s="87">
        <f t="shared" si="14"/>
        <v>11042.099999999991</v>
      </c>
      <c r="I148" s="87">
        <f t="shared" si="15"/>
        <v>44779.79999999999</v>
      </c>
    </row>
    <row r="149" spans="1:9" s="97" customFormat="1" ht="18.75" hidden="1">
      <c r="A149" s="149" t="s">
        <v>84</v>
      </c>
      <c r="B149" s="157"/>
      <c r="C149" s="94"/>
      <c r="D149" s="95"/>
      <c r="E149" s="96">
        <f>D149/D109*100</f>
        <v>0</v>
      </c>
      <c r="F149" s="86" t="e">
        <f t="shared" si="16"/>
        <v>#DIV/0!</v>
      </c>
      <c r="G149" s="86" t="e">
        <f t="shared" si="13"/>
        <v>#DIV/0!</v>
      </c>
      <c r="H149" s="87">
        <f t="shared" si="14"/>
        <v>0</v>
      </c>
      <c r="I149" s="87">
        <f t="shared" si="15"/>
        <v>0</v>
      </c>
    </row>
    <row r="150" spans="1:9" s="97" customFormat="1" ht="18.75">
      <c r="A150" s="149" t="s">
        <v>108</v>
      </c>
      <c r="B150" s="157">
        <v>30</v>
      </c>
      <c r="C150" s="94">
        <v>50</v>
      </c>
      <c r="D150" s="95">
        <f>1+0.7+0.3+0.3+0.3</f>
        <v>2.5999999999999996</v>
      </c>
      <c r="E150" s="96">
        <f>D150/D111*100</f>
        <v>0.36491228070175435</v>
      </c>
      <c r="F150" s="86">
        <f>D150/B150*100</f>
        <v>8.666666666666666</v>
      </c>
      <c r="G150" s="86">
        <f>D150/C150*100</f>
        <v>5.199999999999999</v>
      </c>
      <c r="H150" s="87">
        <f>B150-D150</f>
        <v>27.4</v>
      </c>
      <c r="I150" s="87">
        <f>C150-D150</f>
        <v>47.4</v>
      </c>
    </row>
    <row r="151" spans="1:9" s="97" customFormat="1" ht="18.75">
      <c r="A151" s="152" t="s">
        <v>96</v>
      </c>
      <c r="B151" s="153">
        <v>55.3</v>
      </c>
      <c r="C151" s="94">
        <v>93.9</v>
      </c>
      <c r="D151" s="95">
        <f>29.5+25.8</f>
        <v>55.3</v>
      </c>
      <c r="E151" s="96">
        <f>D151/D109*100</f>
        <v>0.02006693430881878</v>
      </c>
      <c r="F151" s="86">
        <f t="shared" si="16"/>
        <v>100</v>
      </c>
      <c r="G151" s="86">
        <f t="shared" si="13"/>
        <v>58.89243876464323</v>
      </c>
      <c r="H151" s="87">
        <f t="shared" si="14"/>
        <v>0</v>
      </c>
      <c r="I151" s="87">
        <f t="shared" si="15"/>
        <v>38.60000000000001</v>
      </c>
    </row>
    <row r="152" spans="1:9" s="97" customFormat="1" ht="18" customHeight="1">
      <c r="A152" s="152" t="s">
        <v>75</v>
      </c>
      <c r="B152" s="153">
        <v>7865.8</v>
      </c>
      <c r="C152" s="94">
        <f>509.5+13731.5</f>
        <v>14241</v>
      </c>
      <c r="D152" s="95">
        <f>469.6+898.6+871.8+55+430.7+600.4+36+430.7-0.1+542+60.6+1510.5+423.8+77.7</f>
        <v>6407.3</v>
      </c>
      <c r="E152" s="96">
        <f>D152/D109*100</f>
        <v>2.3250428245369728</v>
      </c>
      <c r="F152" s="86">
        <f t="shared" si="16"/>
        <v>81.45770296727606</v>
      </c>
      <c r="G152" s="86">
        <f t="shared" si="13"/>
        <v>44.99192472438733</v>
      </c>
      <c r="H152" s="87">
        <f t="shared" si="14"/>
        <v>1458.5</v>
      </c>
      <c r="I152" s="87">
        <f t="shared" si="15"/>
        <v>7833.7</v>
      </c>
    </row>
    <row r="153" spans="1:9" s="97" customFormat="1" ht="19.5" customHeight="1">
      <c r="A153" s="152" t="s">
        <v>48</v>
      </c>
      <c r="B153" s="153">
        <f>131884.3+164.1+400-3215.3</f>
        <v>129233.09999999999</v>
      </c>
      <c r="C153" s="94">
        <f>365455.9+155.1+4856-2795.8+8042.5-6175</f>
        <v>369538.7</v>
      </c>
      <c r="D153" s="95">
        <f>9702+30405.7+10266.3+91.6-29196.2+1482.1+9293.3+20631.5+2864.5+2072.8+10611.8+26.4-6447.8-3782.8-4677.3+4676.1-2746.7-2356.3-5820.8+6091.9+14434.9+3293.3-2161.9+2161.9+253+3208.6+2572.08517+1407.2+10069.6+3344.4+6615+376.8-14608.8+14620.5+18523+1876.7-4752.8-1622.1+226.9</f>
        <v>113026.38516999997</v>
      </c>
      <c r="E153" s="96">
        <f>D153/D109*100</f>
        <v>41.014340802344286</v>
      </c>
      <c r="F153" s="86">
        <f t="shared" si="16"/>
        <v>87.4593158950764</v>
      </c>
      <c r="G153" s="86">
        <f t="shared" si="13"/>
        <v>30.585804726270876</v>
      </c>
      <c r="H153" s="87">
        <f t="shared" si="14"/>
        <v>16206.714830000026</v>
      </c>
      <c r="I153" s="87">
        <f>C153-D153</f>
        <v>256512.31483000005</v>
      </c>
    </row>
    <row r="154" spans="1:9" s="97" customFormat="1" ht="18.75">
      <c r="A154" s="152" t="s">
        <v>97</v>
      </c>
      <c r="B154" s="153">
        <v>39622.8</v>
      </c>
      <c r="C154" s="94">
        <v>67925</v>
      </c>
      <c r="D154" s="95">
        <f>1886.8+1886.8+1886.8+1886.8+1886.8+1886.8+1886.8+1886.8+1886.8+1886.8+1886.8+1886.8+1886.8+1886.8+1886.8+1886.8+1886.8+1886.8</f>
        <v>33962.399999999994</v>
      </c>
      <c r="E154" s="96">
        <f>D154/D109*100</f>
        <v>12.32407323272743</v>
      </c>
      <c r="F154" s="86">
        <f t="shared" si="16"/>
        <v>85.7142857142857</v>
      </c>
      <c r="G154" s="86">
        <f t="shared" si="13"/>
        <v>49.99985277880014</v>
      </c>
      <c r="H154" s="87">
        <f t="shared" si="14"/>
        <v>5660.400000000009</v>
      </c>
      <c r="I154" s="87">
        <f t="shared" si="15"/>
        <v>33962.600000000006</v>
      </c>
    </row>
    <row r="155" spans="1:9" s="2" customFormat="1" ht="19.5" thickBot="1">
      <c r="A155" s="26" t="s">
        <v>27</v>
      </c>
      <c r="B155" s="132"/>
      <c r="C155" s="59"/>
      <c r="D155" s="40">
        <f>D43+D70+D74+D79+D81+D89+D104+D109+D102+D86+D100</f>
        <v>308432.71979</v>
      </c>
      <c r="E155" s="14"/>
      <c r="F155" s="14"/>
      <c r="G155" s="6"/>
      <c r="H155" s="48"/>
      <c r="I155" s="40"/>
    </row>
    <row r="156" spans="1:11" ht="19.5" thickBot="1">
      <c r="A156" s="11" t="s">
        <v>16</v>
      </c>
      <c r="B156" s="36">
        <f>B6+B18+B33+B43+B52+B60+B70+B74+B79+B81+B89+B92+B97+B104+B109+B102+B86+B100+B46</f>
        <v>1447169.7</v>
      </c>
      <c r="C156" s="36">
        <f>C6+C18+C33+C43+C52+C60+C70+C74+C79+C81+C89+C92+C97+C104+C109+C102+C86+C100+C46</f>
        <v>2507982.6000000006</v>
      </c>
      <c r="D156" s="36">
        <f>D6+D18+D33+D43+D52+D60+D70+D74+D79+D81+D89+D92+D97+D104+D109+D102+D86+D100+D46</f>
        <v>1232932.0567899996</v>
      </c>
      <c r="E156" s="25">
        <v>100</v>
      </c>
      <c r="F156" s="3">
        <f>D156/B156*100</f>
        <v>85.19609391973863</v>
      </c>
      <c r="G156" s="3">
        <f aca="true" t="shared" si="17" ref="G156:G162">D156/C156*100</f>
        <v>49.16031143078901</v>
      </c>
      <c r="H156" s="36">
        <f>B156-D156</f>
        <v>214237.64321000036</v>
      </c>
      <c r="I156" s="36">
        <f aca="true" t="shared" si="18" ref="I156:I162">C156-D156</f>
        <v>1275050.543210001</v>
      </c>
      <c r="K156" s="136">
        <f>D156-114199.9-202905.8-214631.3-204053.8-222765.5+11.7-231911.7</f>
        <v>42475.75678999961</v>
      </c>
    </row>
    <row r="157" spans="1:9" ht="18.75">
      <c r="A157" s="15" t="s">
        <v>5</v>
      </c>
      <c r="B157" s="47">
        <f>B8+B20+B34+B53+B61+B93+B117+B122+B47+B144+B135+B105</f>
        <v>626476.7</v>
      </c>
      <c r="C157" s="47">
        <f>C8+C20+C34+C53+C61+C93+C117+C122+C47+C144+C135+C105</f>
        <v>988150.6</v>
      </c>
      <c r="D157" s="47">
        <f>D8+D20+D34+D53+D61+D93+D117+D122+D47+D144+D135+D105</f>
        <v>557108.8999999999</v>
      </c>
      <c r="E157" s="6">
        <f>D157/D156*100</f>
        <v>45.18569348017934</v>
      </c>
      <c r="F157" s="6">
        <f aca="true" t="shared" si="19" ref="F157:F162">D157/B157*100</f>
        <v>88.92731365747521</v>
      </c>
      <c r="G157" s="6">
        <f t="shared" si="17"/>
        <v>56.37894669091937</v>
      </c>
      <c r="H157" s="48">
        <f aca="true" t="shared" si="20" ref="H157:H162">B157-D157</f>
        <v>69367.80000000005</v>
      </c>
      <c r="I157" s="58">
        <f t="shared" si="18"/>
        <v>431041.70000000007</v>
      </c>
    </row>
    <row r="158" spans="1:9" ht="18.75">
      <c r="A158" s="15" t="s">
        <v>0</v>
      </c>
      <c r="B158" s="87">
        <f>B11+B23+B36+B56+B63+B94+B50+B145+B111+B114+B98+B142+B131</f>
        <v>72354.29999999999</v>
      </c>
      <c r="C158" s="87">
        <f>C11+C23+C36+C56+C63+C94+C50+C145+C111+C114+C98+C142+C131</f>
        <v>125217.3</v>
      </c>
      <c r="D158" s="87">
        <f>D11+D23+D36+D56+D63+D94+D50+D145+D111+D114+D98+D142+D131</f>
        <v>61438.89999999997</v>
      </c>
      <c r="E158" s="6">
        <f>D158/D156*100</f>
        <v>4.983153748144016</v>
      </c>
      <c r="F158" s="6">
        <f t="shared" si="19"/>
        <v>84.9139581199735</v>
      </c>
      <c r="G158" s="6">
        <f t="shared" si="17"/>
        <v>49.065823971607735</v>
      </c>
      <c r="H158" s="48">
        <f>B158-D158</f>
        <v>10915.400000000016</v>
      </c>
      <c r="I158" s="58">
        <f t="shared" si="18"/>
        <v>63778.40000000003</v>
      </c>
    </row>
    <row r="159" spans="1:9" ht="18.75">
      <c r="A159" s="15" t="s">
        <v>1</v>
      </c>
      <c r="B159" s="142">
        <f>B22+B10+B55+B49+B62+B35+B126</f>
        <v>29969.8</v>
      </c>
      <c r="C159" s="142">
        <f>C22+C10+C55+C49+C62+C35+C126</f>
        <v>48102.700000000004</v>
      </c>
      <c r="D159" s="142">
        <f>D22+D10+D55+D49+D62+D35+D126</f>
        <v>26485</v>
      </c>
      <c r="E159" s="6">
        <f>D159/D156*100</f>
        <v>2.148131347071551</v>
      </c>
      <c r="F159" s="6">
        <f t="shared" si="19"/>
        <v>88.37229477674192</v>
      </c>
      <c r="G159" s="6">
        <f t="shared" si="17"/>
        <v>55.059279416747906</v>
      </c>
      <c r="H159" s="48">
        <f t="shared" si="20"/>
        <v>3484.7999999999993</v>
      </c>
      <c r="I159" s="58">
        <f t="shared" si="18"/>
        <v>21617.700000000004</v>
      </c>
    </row>
    <row r="160" spans="1:9" ht="21" customHeight="1">
      <c r="A160" s="15" t="s">
        <v>12</v>
      </c>
      <c r="B160" s="142">
        <f>B12+B24+B106+B64+B38+B95+B133+B57+B140+B120+B44+B73</f>
        <v>51138.49999999999</v>
      </c>
      <c r="C160" s="142">
        <f>C12+C24+C106+C64+C38+C95+C133+C57+C140+C120+C44+C73</f>
        <v>87440.30000000002</v>
      </c>
      <c r="D160" s="142">
        <f>D12+D24+D106+D64+D38+D95+D133+D57+D140+D120+D44+D73</f>
        <v>38854.8</v>
      </c>
      <c r="E160" s="6">
        <f>D160/D156*100</f>
        <v>3.151414531402519</v>
      </c>
      <c r="F160" s="6">
        <f>D160/B160*100</f>
        <v>75.97954574342229</v>
      </c>
      <c r="G160" s="6">
        <f t="shared" si="17"/>
        <v>44.43580362830411</v>
      </c>
      <c r="H160" s="48">
        <f>B160-D160</f>
        <v>12283.69999999999</v>
      </c>
      <c r="I160" s="58">
        <f t="shared" si="18"/>
        <v>48585.500000000015</v>
      </c>
    </row>
    <row r="161" spans="1:9" ht="18.75">
      <c r="A161" s="15" t="s">
        <v>2</v>
      </c>
      <c r="B161" s="47">
        <f>B9+B21+B48+B54+B125</f>
        <v>52.6</v>
      </c>
      <c r="C161" s="47">
        <f>C9+C21+C48+C54+C125</f>
        <v>122.9</v>
      </c>
      <c r="D161" s="47">
        <f>D9+D21+D48+D54+D125</f>
        <v>37.99999999999999</v>
      </c>
      <c r="E161" s="6">
        <f>D161/D156*100</f>
        <v>0.0030820838659134956</v>
      </c>
      <c r="F161" s="6">
        <f t="shared" si="19"/>
        <v>72.24334600760454</v>
      </c>
      <c r="G161" s="6">
        <f t="shared" si="17"/>
        <v>30.91944670463791</v>
      </c>
      <c r="H161" s="48">
        <f t="shared" si="20"/>
        <v>14.600000000000009</v>
      </c>
      <c r="I161" s="58">
        <f t="shared" si="18"/>
        <v>84.9</v>
      </c>
    </row>
    <row r="162" spans="1:9" ht="19.5" thickBot="1">
      <c r="A162" s="80" t="s">
        <v>25</v>
      </c>
      <c r="B162" s="60">
        <f>B156-B157-B158-B159-B160-B161</f>
        <v>667177.7999999999</v>
      </c>
      <c r="C162" s="60">
        <f>C156-C157-C158-C159-C160-C161</f>
        <v>1258948.8000000005</v>
      </c>
      <c r="D162" s="60">
        <f>D156-D157-D158-D159-D160-D161</f>
        <v>549006.4567899996</v>
      </c>
      <c r="E162" s="28">
        <f>D162/D156*100</f>
        <v>44.52852480933665</v>
      </c>
      <c r="F162" s="28">
        <f t="shared" si="19"/>
        <v>82.28787840212904</v>
      </c>
      <c r="G162" s="28">
        <f t="shared" si="17"/>
        <v>43.60832281582852</v>
      </c>
      <c r="H162" s="81">
        <f t="shared" si="20"/>
        <v>118171.34321000031</v>
      </c>
      <c r="I162" s="81">
        <f t="shared" si="18"/>
        <v>709942.3432100009</v>
      </c>
    </row>
    <row r="163" spans="7:8" ht="12.75">
      <c r="G163" s="140"/>
      <c r="H163" s="140"/>
    </row>
    <row r="164" spans="3:9" ht="12.75">
      <c r="C164" s="136"/>
      <c r="G164" s="140"/>
      <c r="H164" s="140"/>
      <c r="I164" s="140"/>
    </row>
    <row r="165" spans="4:8" ht="12.75">
      <c r="D165" s="136"/>
      <c r="G165" s="140"/>
      <c r="H165" s="140"/>
    </row>
    <row r="166" spans="7:8" ht="12.75">
      <c r="G166" s="140"/>
      <c r="H166" s="140"/>
    </row>
    <row r="167" spans="2:8" ht="12.75">
      <c r="B167" s="141"/>
      <c r="C167" s="141"/>
      <c r="D167" s="136"/>
      <c r="G167" s="140"/>
      <c r="H167" s="140"/>
    </row>
    <row r="168" spans="7:8" ht="12.75">
      <c r="G168" s="140"/>
      <c r="H168" s="140"/>
    </row>
    <row r="169" spans="2:8" ht="12.75">
      <c r="B169" s="141"/>
      <c r="C169" s="141"/>
      <c r="D169" s="141"/>
      <c r="G169" s="140"/>
      <c r="H169" s="140"/>
    </row>
    <row r="170" spans="2:8" ht="12.75">
      <c r="B170" s="141"/>
      <c r="G170" s="140"/>
      <c r="H170" s="140"/>
    </row>
    <row r="171" spans="2:8" ht="12.75">
      <c r="B171" s="141"/>
      <c r="C171" s="136"/>
      <c r="G171" s="140"/>
      <c r="H171" s="140"/>
    </row>
    <row r="172" spans="7:8" ht="12.75">
      <c r="G172" s="140"/>
      <c r="H172" s="140"/>
    </row>
    <row r="173" spans="7:8" ht="12.75">
      <c r="G173" s="140"/>
      <c r="H173" s="140"/>
    </row>
    <row r="174" spans="7:8" ht="12.75">
      <c r="G174" s="140"/>
      <c r="H174" s="140"/>
    </row>
    <row r="175" spans="7:8" ht="12.75">
      <c r="G175" s="140"/>
      <c r="H175" s="140"/>
    </row>
    <row r="176" spans="7:8" ht="12.75">
      <c r="G176" s="140"/>
      <c r="H176" s="140"/>
    </row>
    <row r="177" spans="3:8" ht="12.75">
      <c r="C177" s="136"/>
      <c r="G177" s="140"/>
      <c r="H177" s="140"/>
    </row>
    <row r="178" spans="7:8" ht="12.75">
      <c r="G178" s="140"/>
      <c r="H178" s="140"/>
    </row>
    <row r="179" spans="7:8" ht="12.75">
      <c r="G179" s="140"/>
      <c r="H179" s="140"/>
    </row>
    <row r="180" spans="7:8" ht="12.75">
      <c r="G180" s="140"/>
      <c r="H180" s="140"/>
    </row>
    <row r="181" spans="7:8" ht="12.75">
      <c r="G181" s="140"/>
      <c r="H181" s="140"/>
    </row>
    <row r="182" spans="7:8" ht="12.75">
      <c r="G182" s="140"/>
      <c r="H182" s="140"/>
    </row>
    <row r="183" spans="7:8" ht="12.75">
      <c r="G183" s="140"/>
      <c r="H183" s="140"/>
    </row>
    <row r="184" spans="7:8" ht="12.75">
      <c r="G184" s="140"/>
      <c r="H184" s="140"/>
    </row>
    <row r="185" spans="7:8" ht="12.75">
      <c r="G185" s="140"/>
      <c r="H185" s="140"/>
    </row>
    <row r="186" spans="7:8" ht="12.75">
      <c r="G186" s="140"/>
      <c r="H186" s="140"/>
    </row>
    <row r="187" spans="7:8" ht="12.75">
      <c r="G187" s="140"/>
      <c r="H187" s="140"/>
    </row>
    <row r="188" spans="7:8" ht="12.75">
      <c r="G188" s="140"/>
      <c r="H188" s="140"/>
    </row>
    <row r="189" spans="7:8" ht="12.75">
      <c r="G189" s="140"/>
      <c r="H189" s="140"/>
    </row>
    <row r="190" spans="7:8" ht="12.75">
      <c r="G190" s="140"/>
      <c r="H190" s="140"/>
    </row>
    <row r="191" spans="7:8" ht="12.75">
      <c r="G191" s="140"/>
      <c r="H191" s="140"/>
    </row>
    <row r="192" spans="7:8" ht="12.75">
      <c r="G192" s="140"/>
      <c r="H192" s="140"/>
    </row>
    <row r="193" spans="7:8" ht="12.75">
      <c r="G193" s="140"/>
      <c r="H193" s="140"/>
    </row>
    <row r="194" spans="7:8" ht="12.75">
      <c r="G194" s="140"/>
      <c r="H194" s="140"/>
    </row>
    <row r="195" spans="7:8" ht="12.75">
      <c r="G195" s="140"/>
      <c r="H195" s="140"/>
    </row>
    <row r="196" spans="7:8" ht="12.75">
      <c r="G196" s="140"/>
      <c r="H196" s="140"/>
    </row>
    <row r="197" spans="7:8" ht="12.75">
      <c r="G197" s="140"/>
      <c r="H197" s="140"/>
    </row>
    <row r="198" spans="7:8" ht="12.75">
      <c r="G198" s="140"/>
      <c r="H198" s="140"/>
    </row>
    <row r="199" spans="7:8" ht="12.75">
      <c r="G199" s="140"/>
      <c r="H199" s="140"/>
    </row>
    <row r="200" spans="7:8" ht="12.75">
      <c r="G200" s="140"/>
      <c r="H200" s="140"/>
    </row>
    <row r="201" spans="7:8" ht="12.75">
      <c r="G201" s="140"/>
      <c r="H201" s="140"/>
    </row>
    <row r="202" spans="7:8" ht="12.75">
      <c r="G202" s="140"/>
      <c r="H202" s="140"/>
    </row>
    <row r="203" spans="7:8" ht="12.75">
      <c r="G203" s="140"/>
      <c r="H203" s="140"/>
    </row>
    <row r="204" spans="7:8" ht="12.75">
      <c r="G204" s="140"/>
      <c r="H204" s="140"/>
    </row>
    <row r="205" spans="7:8" ht="12.75">
      <c r="G205" s="140"/>
      <c r="H205" s="140"/>
    </row>
    <row r="206" spans="7:8" ht="12.75">
      <c r="G206" s="140"/>
      <c r="H206" s="140"/>
    </row>
    <row r="207" spans="7:8" ht="12.75">
      <c r="G207" s="140"/>
      <c r="H207" s="140"/>
    </row>
    <row r="208" spans="7:8" ht="12.75">
      <c r="G208" s="140"/>
      <c r="H208" s="140"/>
    </row>
    <row r="209" spans="7:8" ht="12.75">
      <c r="G209" s="140"/>
      <c r="H209" s="140"/>
    </row>
    <row r="210" spans="7:8" ht="12.75">
      <c r="G210" s="140"/>
      <c r="H210" s="140"/>
    </row>
    <row r="211" spans="7:8" ht="12.75">
      <c r="G211" s="140"/>
      <c r="H211" s="140"/>
    </row>
    <row r="212" spans="7:8" ht="12.75">
      <c r="G212" s="140"/>
      <c r="H212" s="140"/>
    </row>
    <row r="213" spans="7:8" ht="12.75">
      <c r="G213" s="140"/>
      <c r="H213" s="140"/>
    </row>
    <row r="214" spans="7:8" ht="12.75">
      <c r="G214" s="140"/>
      <c r="H214" s="140"/>
    </row>
    <row r="215" spans="7:8" ht="12.75">
      <c r="G215" s="140"/>
      <c r="H215" s="140"/>
    </row>
    <row r="216" spans="7:8" ht="12.75">
      <c r="G216" s="140"/>
      <c r="H216" s="140"/>
    </row>
    <row r="217" spans="7:8" ht="12.75">
      <c r="G217" s="140"/>
      <c r="H217" s="140"/>
    </row>
    <row r="218" spans="7:8" ht="12.75">
      <c r="G218" s="140"/>
      <c r="H218" s="140"/>
    </row>
    <row r="219" spans="7:8" ht="12.75">
      <c r="G219" s="140"/>
      <c r="H219" s="140"/>
    </row>
    <row r="220" spans="7:8" ht="12.75">
      <c r="G220" s="140"/>
      <c r="H220" s="140"/>
    </row>
    <row r="221" spans="7:8" ht="12.75">
      <c r="G221" s="140"/>
      <c r="H221" s="140"/>
    </row>
    <row r="222" spans="7:8" ht="12.75">
      <c r="G222" s="140"/>
      <c r="H222" s="140"/>
    </row>
    <row r="223" spans="7:8" ht="12.75">
      <c r="G223" s="140"/>
      <c r="H223" s="140"/>
    </row>
    <row r="224" spans="7:8" ht="12.75">
      <c r="G224" s="140"/>
      <c r="H224" s="140"/>
    </row>
    <row r="225" spans="7:8" ht="12.75">
      <c r="G225" s="140"/>
      <c r="H225" s="140"/>
    </row>
    <row r="226" spans="7:8" ht="12.75">
      <c r="G226" s="140"/>
      <c r="H226" s="140"/>
    </row>
    <row r="227" spans="7:8" ht="12.75">
      <c r="G227" s="140"/>
      <c r="H227" s="140"/>
    </row>
    <row r="228" spans="7:8" ht="12.75">
      <c r="G228" s="140"/>
      <c r="H228" s="140"/>
    </row>
    <row r="229" spans="7:8" ht="12.75">
      <c r="G229" s="140"/>
      <c r="H229" s="140"/>
    </row>
    <row r="230" spans="7:8" ht="12.75">
      <c r="G230" s="140"/>
      <c r="H230" s="140"/>
    </row>
    <row r="231" spans="7:8" ht="12.75">
      <c r="G231" s="140"/>
      <c r="H231" s="140"/>
    </row>
    <row r="232" spans="7:8" ht="12.75">
      <c r="G232" s="140"/>
      <c r="H232" s="140"/>
    </row>
    <row r="233" spans="7:8" ht="12.75">
      <c r="G233" s="140"/>
      <c r="H233" s="140"/>
    </row>
    <row r="234" spans="7:8" ht="12.75">
      <c r="G234" s="140"/>
      <c r="H234" s="140"/>
    </row>
    <row r="235" spans="7:8" ht="12.75">
      <c r="G235" s="140"/>
      <c r="H235" s="140"/>
    </row>
    <row r="236" spans="7:8" ht="12.75">
      <c r="G236" s="140"/>
      <c r="H236" s="140"/>
    </row>
    <row r="237" spans="7:8" ht="12.75">
      <c r="G237" s="140"/>
      <c r="H237" s="140"/>
    </row>
    <row r="238" spans="7:8" ht="12.75">
      <c r="G238" s="140"/>
      <c r="H238" s="140"/>
    </row>
    <row r="239" spans="7:8" ht="12.75">
      <c r="G239" s="140"/>
      <c r="H239" s="140"/>
    </row>
    <row r="240" spans="7:8" ht="12.75">
      <c r="G240" s="140"/>
      <c r="H240" s="140"/>
    </row>
    <row r="241" spans="7:8" ht="12.75">
      <c r="G241" s="140"/>
      <c r="H241" s="140"/>
    </row>
    <row r="242" spans="7:8" ht="12.75">
      <c r="G242" s="140"/>
      <c r="H242" s="140"/>
    </row>
    <row r="243" spans="7:8" ht="12.75">
      <c r="G243" s="140"/>
      <c r="H243" s="140"/>
    </row>
    <row r="244" spans="7:8" ht="12.75">
      <c r="G244" s="140"/>
      <c r="H244" s="140"/>
    </row>
    <row r="245" spans="7:8" ht="12.75">
      <c r="G245" s="140"/>
      <c r="H245" s="140"/>
    </row>
    <row r="246" spans="7:8" ht="12.75">
      <c r="G246" s="140"/>
      <c r="H246" s="140"/>
    </row>
    <row r="247" spans="7:8" ht="12.75">
      <c r="G247" s="140"/>
      <c r="H247" s="140"/>
    </row>
    <row r="248" spans="7:8" ht="12.75">
      <c r="G248" s="140"/>
      <c r="H248" s="140"/>
    </row>
    <row r="249" spans="7:8" ht="12.75">
      <c r="G249" s="140"/>
      <c r="H249" s="140"/>
    </row>
    <row r="250" spans="7:8" ht="12.75">
      <c r="G250" s="140"/>
      <c r="H250" s="140"/>
    </row>
    <row r="251" spans="7:8" ht="12.75">
      <c r="G251" s="140"/>
      <c r="H251" s="140"/>
    </row>
    <row r="252" spans="7:8" ht="12.75">
      <c r="G252" s="140"/>
      <c r="H252" s="140"/>
    </row>
    <row r="253" spans="7:8" ht="12.75">
      <c r="G253" s="140"/>
      <c r="H253" s="140"/>
    </row>
    <row r="254" spans="7:8" ht="12.75">
      <c r="G254" s="140"/>
      <c r="H254" s="140"/>
    </row>
    <row r="255" spans="7:8" ht="12.75">
      <c r="G255" s="140"/>
      <c r="H255" s="140"/>
    </row>
    <row r="256" spans="7:8" ht="12.75">
      <c r="G256" s="140"/>
      <c r="H256" s="140"/>
    </row>
    <row r="257" spans="7:8" ht="12.75">
      <c r="G257" s="140"/>
      <c r="H257" s="140"/>
    </row>
    <row r="258" spans="7:8" ht="12.75">
      <c r="G258" s="140"/>
      <c r="H258" s="140"/>
    </row>
    <row r="259" spans="7:8" ht="12.75">
      <c r="G259" s="140"/>
      <c r="H259" s="140"/>
    </row>
    <row r="260" spans="7:8" ht="12.75">
      <c r="G260" s="140"/>
      <c r="H260" s="140"/>
    </row>
    <row r="261" spans="7:8" ht="12.75">
      <c r="G261" s="140"/>
      <c r="H261" s="140"/>
    </row>
    <row r="262" spans="7:8" ht="12.75">
      <c r="G262" s="140"/>
      <c r="H262" s="140"/>
    </row>
    <row r="263" spans="7:8" ht="12.75">
      <c r="G263" s="140"/>
      <c r="H263" s="140"/>
    </row>
    <row r="264" spans="7:8" ht="12.75">
      <c r="G264" s="140"/>
      <c r="H264" s="140"/>
    </row>
    <row r="265" spans="7:8" ht="12.75">
      <c r="G265" s="140"/>
      <c r="H265" s="140"/>
    </row>
    <row r="266" spans="7:8" ht="12.75">
      <c r="G266" s="140"/>
      <c r="H266" s="140"/>
    </row>
    <row r="267" spans="7:8" ht="12.75">
      <c r="G267" s="140"/>
      <c r="H267" s="140"/>
    </row>
    <row r="268" spans="7:8" ht="12.75">
      <c r="G268" s="140"/>
      <c r="H268" s="140"/>
    </row>
    <row r="269" spans="7:8" ht="12.75">
      <c r="G269" s="140"/>
      <c r="H269" s="140"/>
    </row>
    <row r="270" spans="7:8" ht="12.75">
      <c r="G270" s="140"/>
      <c r="H270" s="140"/>
    </row>
    <row r="271" spans="7:8" ht="12.75">
      <c r="G271" s="140"/>
      <c r="H271" s="140"/>
    </row>
    <row r="272" spans="7:8" ht="12.75">
      <c r="G272" s="140"/>
      <c r="H272" s="140"/>
    </row>
    <row r="273" spans="7:8" ht="12.75">
      <c r="G273" s="140"/>
      <c r="H273" s="140"/>
    </row>
    <row r="274" spans="7:8" ht="12.75">
      <c r="G274" s="140"/>
      <c r="H274" s="140"/>
    </row>
    <row r="275" spans="7:8" ht="12.75">
      <c r="G275" s="140"/>
      <c r="H275" s="140"/>
    </row>
    <row r="276" spans="7:8" ht="12.75">
      <c r="G276" s="140"/>
      <c r="H276" s="140"/>
    </row>
    <row r="277" spans="7:8" ht="12.75">
      <c r="G277" s="140"/>
      <c r="H277" s="140"/>
    </row>
    <row r="278" spans="7:8" ht="12.75">
      <c r="G278" s="140"/>
      <c r="H278" s="140"/>
    </row>
    <row r="279" spans="7:8" ht="12.75">
      <c r="G279" s="140"/>
      <c r="H279" s="140"/>
    </row>
    <row r="280" spans="7:8" ht="12.75">
      <c r="G280" s="140"/>
      <c r="H280" s="140"/>
    </row>
    <row r="281" spans="7:8" ht="12.75">
      <c r="G281" s="140"/>
      <c r="H281" s="140"/>
    </row>
    <row r="282" spans="7:8" ht="12.75">
      <c r="G282" s="140"/>
      <c r="H282" s="140"/>
    </row>
    <row r="283" spans="7:8" ht="12.75">
      <c r="G283" s="140"/>
      <c r="H283" s="140"/>
    </row>
    <row r="284" spans="7:8" ht="12.75">
      <c r="G284" s="140"/>
      <c r="H284" s="140"/>
    </row>
    <row r="285" spans="7:8" ht="12.75">
      <c r="G285" s="140"/>
      <c r="H285" s="140"/>
    </row>
    <row r="286" spans="7:8" ht="12.75">
      <c r="G286" s="140"/>
      <c r="H286" s="140"/>
    </row>
    <row r="287" spans="7:8" ht="12.75">
      <c r="G287" s="140"/>
      <c r="H287" s="140"/>
    </row>
    <row r="288" spans="7:8" ht="12.75">
      <c r="G288" s="140"/>
      <c r="H288" s="140"/>
    </row>
    <row r="289" spans="7:8" ht="12.75">
      <c r="G289" s="140"/>
      <c r="H289" s="140"/>
    </row>
    <row r="290" spans="7:8" ht="12.75">
      <c r="G290" s="140"/>
      <c r="H290" s="140"/>
    </row>
    <row r="291" spans="7:8" ht="12.75">
      <c r="G291" s="140"/>
      <c r="H291" s="140"/>
    </row>
    <row r="292" spans="7:8" ht="12.75">
      <c r="G292" s="140"/>
      <c r="H292" s="140"/>
    </row>
    <row r="293" spans="7:8" ht="12.75">
      <c r="G293" s="140"/>
      <c r="H293" s="140"/>
    </row>
    <row r="294" spans="7:8" ht="12.75">
      <c r="G294" s="140"/>
      <c r="H294" s="140"/>
    </row>
    <row r="295" spans="7:8" ht="12.75">
      <c r="G295" s="140"/>
      <c r="H295" s="140"/>
    </row>
    <row r="296" spans="7:8" ht="12.75">
      <c r="G296" s="140"/>
      <c r="H296" s="140"/>
    </row>
    <row r="297" spans="7:8" ht="12.75">
      <c r="G297" s="140"/>
      <c r="H297" s="140"/>
    </row>
    <row r="298" spans="7:8" ht="12.75">
      <c r="G298" s="140"/>
      <c r="H298" s="140"/>
    </row>
    <row r="299" spans="7:8" ht="12.75">
      <c r="G299" s="140"/>
      <c r="H299" s="140"/>
    </row>
    <row r="300" spans="7:8" ht="12.75">
      <c r="G300" s="140"/>
      <c r="H300" s="140"/>
    </row>
    <row r="301" spans="7:8" ht="12.75">
      <c r="G301" s="140"/>
      <c r="H301" s="140"/>
    </row>
    <row r="302" spans="7:8" ht="12.75">
      <c r="G302" s="140"/>
      <c r="H302" s="140"/>
    </row>
    <row r="303" spans="7:8" ht="12.75">
      <c r="G303" s="140"/>
      <c r="H303" s="140"/>
    </row>
    <row r="304" spans="7:8" ht="12.75">
      <c r="G304" s="140"/>
      <c r="H304" s="140"/>
    </row>
    <row r="305" spans="7:8" ht="12.75">
      <c r="G305" s="140"/>
      <c r="H305" s="140"/>
    </row>
    <row r="306" spans="7:8" ht="12.75">
      <c r="G306" s="140"/>
      <c r="H306" s="140"/>
    </row>
    <row r="307" spans="7:8" ht="12.75">
      <c r="G307" s="140"/>
      <c r="H307" s="140"/>
    </row>
    <row r="308" spans="7:8" ht="12.75">
      <c r="G308" s="140"/>
      <c r="H308" s="140"/>
    </row>
    <row r="309" spans="7:8" ht="12.75">
      <c r="G309" s="140"/>
      <c r="H309" s="140"/>
    </row>
    <row r="310" spans="7:8" ht="12.75">
      <c r="G310" s="140"/>
      <c r="H310" s="140"/>
    </row>
    <row r="311" spans="7:8" ht="12.75">
      <c r="G311" s="140"/>
      <c r="H311" s="140"/>
    </row>
    <row r="312" spans="7:8" ht="12.75">
      <c r="G312" s="140"/>
      <c r="H312" s="140"/>
    </row>
    <row r="313" spans="7:8" ht="12.75">
      <c r="G313" s="140"/>
      <c r="H313" s="140"/>
    </row>
    <row r="314" spans="7:8" ht="12.75">
      <c r="G314" s="140"/>
      <c r="H314" s="140"/>
    </row>
    <row r="315" spans="7:8" ht="12.75">
      <c r="G315" s="140"/>
      <c r="H315" s="140"/>
    </row>
    <row r="316" spans="7:8" ht="12.75">
      <c r="G316" s="140"/>
      <c r="H316" s="140"/>
    </row>
    <row r="317" spans="7:8" ht="12.75">
      <c r="G317" s="140"/>
      <c r="H317" s="140"/>
    </row>
    <row r="318" spans="7:8" ht="12.75">
      <c r="G318" s="140"/>
      <c r="H318" s="140"/>
    </row>
    <row r="319" spans="7:8" ht="12.75">
      <c r="G319" s="140"/>
      <c r="H319" s="140"/>
    </row>
    <row r="320" spans="7:8" ht="12.75">
      <c r="G320" s="140"/>
      <c r="H320" s="140"/>
    </row>
    <row r="321" spans="7:8" ht="12.75">
      <c r="G321" s="140"/>
      <c r="H321" s="140"/>
    </row>
    <row r="322" spans="7:8" ht="12.75">
      <c r="G322" s="140"/>
      <c r="H322" s="140"/>
    </row>
    <row r="323" spans="7:8" ht="12.75">
      <c r="G323" s="140"/>
      <c r="H323" s="140"/>
    </row>
    <row r="324" spans="7:8" ht="12.75">
      <c r="G324" s="140"/>
      <c r="H324" s="140"/>
    </row>
    <row r="325" spans="7:8" ht="12.75">
      <c r="G325" s="140"/>
      <c r="H325" s="140"/>
    </row>
    <row r="326" spans="7:8" ht="12.75">
      <c r="G326" s="140"/>
      <c r="H326" s="140"/>
    </row>
    <row r="327" spans="7:8" ht="12.75">
      <c r="G327" s="140"/>
      <c r="H327" s="140"/>
    </row>
    <row r="328" spans="7:8" ht="12.75">
      <c r="G328" s="140"/>
      <c r="H328" s="140"/>
    </row>
    <row r="329" spans="7:8" ht="12.75">
      <c r="G329" s="140"/>
      <c r="H329" s="140"/>
    </row>
    <row r="330" spans="7:8" ht="12.75">
      <c r="G330" s="140"/>
      <c r="H330" s="140"/>
    </row>
    <row r="331" spans="7:8" ht="12.75">
      <c r="G331" s="140"/>
      <c r="H331" s="140"/>
    </row>
    <row r="332" spans="7:8" ht="12.75">
      <c r="G332" s="140"/>
      <c r="H332" s="140"/>
    </row>
    <row r="333" spans="7:8" ht="12.75">
      <c r="G333" s="140"/>
      <c r="H333" s="140"/>
    </row>
    <row r="334" spans="7:8" ht="12.75">
      <c r="G334" s="140"/>
      <c r="H334" s="140"/>
    </row>
    <row r="335" spans="7:8" ht="12.75">
      <c r="G335" s="140"/>
      <c r="H335" s="140"/>
    </row>
    <row r="336" spans="7:8" ht="12.75">
      <c r="G336" s="140"/>
      <c r="H336" s="140"/>
    </row>
    <row r="337" spans="7:8" ht="12.75">
      <c r="G337" s="140"/>
      <c r="H337" s="140"/>
    </row>
    <row r="338" spans="7:8" ht="12.75">
      <c r="G338" s="140"/>
      <c r="H338" s="140"/>
    </row>
    <row r="339" spans="7:8" ht="12.75">
      <c r="G339" s="140"/>
      <c r="H339" s="140"/>
    </row>
    <row r="340" spans="7:8" ht="12.75">
      <c r="G340" s="140"/>
      <c r="H340" s="140"/>
    </row>
    <row r="341" spans="7:8" ht="12.75">
      <c r="G341" s="140"/>
      <c r="H341" s="140"/>
    </row>
    <row r="342" spans="7:8" ht="12.75">
      <c r="G342" s="140"/>
      <c r="H342" s="140"/>
    </row>
    <row r="343" spans="7:8" ht="12.75">
      <c r="G343" s="140"/>
      <c r="H343" s="140"/>
    </row>
    <row r="344" spans="7:8" ht="12.75">
      <c r="G344" s="140"/>
      <c r="H344" s="140"/>
    </row>
    <row r="345" spans="7:8" ht="12.75">
      <c r="G345" s="140"/>
      <c r="H345" s="140"/>
    </row>
    <row r="346" spans="7:8" ht="12.75">
      <c r="G346" s="140"/>
      <c r="H346" s="140"/>
    </row>
    <row r="347" spans="7:8" ht="12.75">
      <c r="G347" s="140"/>
      <c r="H347" s="140"/>
    </row>
    <row r="348" spans="7:8" ht="12.75">
      <c r="G348" s="140"/>
      <c r="H348" s="140"/>
    </row>
    <row r="349" spans="7:8" ht="12.75">
      <c r="G349" s="140"/>
      <c r="H349" s="140"/>
    </row>
    <row r="350" spans="7:8" ht="12.75">
      <c r="G350" s="140"/>
      <c r="H350" s="140"/>
    </row>
    <row r="351" spans="7:8" ht="12.75">
      <c r="G351" s="140"/>
      <c r="H351" s="140"/>
    </row>
    <row r="352" spans="7:8" ht="12.75">
      <c r="G352" s="140"/>
      <c r="H352" s="140"/>
    </row>
    <row r="353" spans="7:8" ht="12.75">
      <c r="G353" s="140"/>
      <c r="H353" s="140"/>
    </row>
    <row r="354" spans="7:8" ht="12.75">
      <c r="G354" s="140"/>
      <c r="H354" s="140"/>
    </row>
    <row r="355" spans="7:8" ht="12.75">
      <c r="G355" s="140"/>
      <c r="H355" s="140"/>
    </row>
    <row r="356" spans="7:8" ht="12.75">
      <c r="G356" s="140"/>
      <c r="H356" s="140"/>
    </row>
    <row r="357" spans="7:8" ht="12.75">
      <c r="G357" s="140"/>
      <c r="H357" s="140"/>
    </row>
    <row r="358" spans="7:8" ht="12.75">
      <c r="G358" s="140"/>
      <c r="H358" s="140"/>
    </row>
    <row r="359" spans="7:8" ht="12.75">
      <c r="G359" s="140"/>
      <c r="H359" s="140"/>
    </row>
    <row r="360" spans="7:8" ht="12.75">
      <c r="G360" s="140"/>
      <c r="H360" s="140"/>
    </row>
    <row r="361" spans="7:8" ht="12.75">
      <c r="G361" s="140"/>
      <c r="H361" s="140"/>
    </row>
    <row r="362" spans="7:8" ht="12.75">
      <c r="G362" s="140"/>
      <c r="H362" s="140"/>
    </row>
    <row r="363" spans="7:8" ht="12.75">
      <c r="G363" s="140"/>
      <c r="H363" s="140"/>
    </row>
    <row r="364" spans="7:8" ht="12.75">
      <c r="G364" s="140"/>
      <c r="H364" s="140"/>
    </row>
    <row r="365" spans="7:8" ht="12.75">
      <c r="G365" s="140"/>
      <c r="H365" s="140"/>
    </row>
    <row r="366" spans="7:8" ht="12.75">
      <c r="G366" s="140"/>
      <c r="H366" s="140"/>
    </row>
    <row r="367" spans="7:8" ht="12.75">
      <c r="G367" s="140"/>
      <c r="H367" s="140"/>
    </row>
    <row r="368" spans="7:8" ht="12.75">
      <c r="G368" s="140"/>
      <c r="H368" s="140"/>
    </row>
    <row r="369" spans="7:8" ht="12.75">
      <c r="G369" s="140"/>
      <c r="H369" s="140"/>
    </row>
    <row r="370" spans="7:8" ht="12.75">
      <c r="G370" s="140"/>
      <c r="H370" s="140"/>
    </row>
    <row r="371" spans="7:8" ht="12.75">
      <c r="G371" s="140"/>
      <c r="H371" s="140"/>
    </row>
    <row r="372" spans="7:8" ht="12.75">
      <c r="G372" s="140"/>
      <c r="H372" s="140"/>
    </row>
    <row r="373" spans="7:8" ht="12.75">
      <c r="G373" s="140"/>
      <c r="H373" s="140"/>
    </row>
    <row r="374" spans="7:8" ht="12.75">
      <c r="G374" s="140"/>
      <c r="H374" s="140"/>
    </row>
    <row r="375" spans="7:8" ht="12.75">
      <c r="G375" s="140"/>
      <c r="H375" s="140"/>
    </row>
    <row r="376" spans="7:8" ht="12.75">
      <c r="G376" s="140"/>
      <c r="H376" s="140"/>
    </row>
    <row r="377" spans="7:8" ht="12.75">
      <c r="G377" s="140"/>
      <c r="H377" s="140"/>
    </row>
    <row r="378" spans="7:8" ht="12.75">
      <c r="G378" s="140"/>
      <c r="H378" s="140"/>
    </row>
    <row r="379" spans="7:8" ht="12.75">
      <c r="G379" s="140"/>
      <c r="H379" s="140"/>
    </row>
    <row r="380" spans="7:8" ht="12.75">
      <c r="G380" s="140"/>
      <c r="H380" s="140"/>
    </row>
    <row r="381" spans="7:8" ht="12.75">
      <c r="G381" s="140"/>
      <c r="H381" s="140"/>
    </row>
    <row r="382" spans="7:8" ht="12.75">
      <c r="G382" s="140"/>
      <c r="H382" s="140"/>
    </row>
    <row r="383" spans="7:8" ht="12.75">
      <c r="G383" s="140"/>
      <c r="H383" s="140"/>
    </row>
    <row r="384" spans="7:8" ht="12.75">
      <c r="G384" s="140"/>
      <c r="H384" s="140"/>
    </row>
    <row r="385" spans="7:8" ht="12.75">
      <c r="G385" s="140"/>
      <c r="H385" s="140"/>
    </row>
    <row r="386" spans="7:8" ht="12.75">
      <c r="G386" s="140"/>
      <c r="H386" s="140"/>
    </row>
    <row r="387" spans="7:8" ht="12.75">
      <c r="G387" s="140"/>
      <c r="H387" s="140"/>
    </row>
    <row r="388" spans="7:8" ht="12.75">
      <c r="G388" s="140"/>
      <c r="H388" s="140"/>
    </row>
    <row r="389" spans="7:8" ht="12.75">
      <c r="G389" s="140"/>
      <c r="H389" s="140"/>
    </row>
    <row r="390" spans="7:8" ht="12.75">
      <c r="G390" s="140"/>
      <c r="H390" s="140"/>
    </row>
    <row r="391" spans="7:8" ht="12.75">
      <c r="G391" s="140"/>
      <c r="H391" s="140"/>
    </row>
    <row r="392" spans="7:8" ht="12.75">
      <c r="G392" s="140"/>
      <c r="H392" s="140"/>
    </row>
    <row r="393" spans="7:8" ht="12.75">
      <c r="G393" s="140"/>
      <c r="H393" s="140"/>
    </row>
    <row r="394" spans="7:8" ht="12.75">
      <c r="G394" s="140"/>
      <c r="H394" s="140"/>
    </row>
    <row r="395" spans="7:8" ht="12.75">
      <c r="G395" s="140"/>
      <c r="H395" s="140"/>
    </row>
    <row r="396" spans="7:8" ht="12.75">
      <c r="G396" s="140"/>
      <c r="H396" s="140"/>
    </row>
    <row r="397" spans="7:8" ht="12.75">
      <c r="G397" s="140"/>
      <c r="H397" s="140"/>
    </row>
    <row r="398" spans="7:8" ht="12.75">
      <c r="G398" s="140"/>
      <c r="H398" s="140"/>
    </row>
    <row r="399" spans="7:8" ht="12.75">
      <c r="G399" s="140"/>
      <c r="H399" s="140"/>
    </row>
    <row r="400" spans="7:8" ht="12.75">
      <c r="G400" s="140"/>
      <c r="H400" s="140"/>
    </row>
    <row r="401" spans="7:8" ht="12.75">
      <c r="G401" s="140"/>
      <c r="H401" s="140"/>
    </row>
  </sheetData>
  <sheetProtection formatCells="0" formatColumns="0" formatRows="0" insertColumns="0" insertRows="0" insertHyperlinks="0" deleteColumns="0" deleteRows="0"/>
  <mergeCells count="10">
    <mergeCell ref="A1:I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conditionalFormatting sqref="E8:E17">
    <cfRule type="cellIs" priority="1" dxfId="1" operator="lessThan" stopIfTrue="1">
      <formula>0</formula>
    </cfRule>
  </conditionalFormatting>
  <conditionalFormatting sqref="H6:I162">
    <cfRule type="cellIs" priority="2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E3" sqref="E3"/>
    </sheetView>
  </sheetViews>
  <sheetFormatPr defaultColWidth="9.00390625" defaultRowHeight="12.75"/>
  <cols>
    <col min="5" max="5" width="18.8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2507982.6000000006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1232932.0567899996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9" sqref="C3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D33" sqref="D33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2507982.6000000006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1232932.0567899996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2019-07-05T11:44:07Z</cp:lastPrinted>
  <dcterms:created xsi:type="dcterms:W3CDTF">2000-06-20T04:48:00Z</dcterms:created>
  <dcterms:modified xsi:type="dcterms:W3CDTF">2019-07-05T11:49:15Z</dcterms:modified>
  <cp:category/>
  <cp:version/>
  <cp:contentType/>
  <cp:contentStatus/>
</cp:coreProperties>
</file>